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-120" windowWidth="29040" windowHeight="15840"/>
  </bookViews>
  <sheets>
    <sheet name="Summary " sheetId="1" r:id="rId1"/>
    <sheet name="Pallet 1" sheetId="2" r:id="rId2"/>
    <sheet name="Pallet 2" sheetId="3" r:id="rId3"/>
    <sheet name="Pallet 3" sheetId="4" r:id="rId4"/>
    <sheet name="Pallet 4" sheetId="5" r:id="rId5"/>
    <sheet name="Pallet 5" sheetId="6" r:id="rId6"/>
    <sheet name="Pallet 6" sheetId="7" r:id="rId7"/>
    <sheet name="Pallet 7" sheetId="8" r:id="rId8"/>
    <sheet name="Pallet 8" sheetId="9" r:id="rId9"/>
    <sheet name="Pallet 9" sheetId="10" r:id="rId10"/>
    <sheet name="Pallet 10" sheetId="11" r:id="rId11"/>
    <sheet name="Pallet 11" sheetId="12" r:id="rId12"/>
    <sheet name="Pallet 12" sheetId="13" r:id="rId13"/>
    <sheet name="Pallet 13" sheetId="14" r:id="rId14"/>
    <sheet name="Pallet 14" sheetId="15" r:id="rId15"/>
    <sheet name="Pallet 15" sheetId="17" r:id="rId16"/>
    <sheet name="Pallet 16" sheetId="18" r:id="rId17"/>
    <sheet name="Pallet 17" sheetId="19" r:id="rId18"/>
    <sheet name="Pallet 18" sheetId="20" r:id="rId19"/>
    <sheet name="Pallet 19" sheetId="21" r:id="rId20"/>
    <sheet name="Pallet 20" sheetId="22" r:id="rId21"/>
    <sheet name="Pallet 21" sheetId="23" r:id="rId22"/>
    <sheet name="Pallet 22" sheetId="24" r:id="rId23"/>
    <sheet name="Pallet 23" sheetId="25" r:id="rId24"/>
    <sheet name="Pallet 24" sheetId="26" r:id="rId25"/>
    <sheet name="Pallet 25" sheetId="27" r:id="rId26"/>
    <sheet name="Pallet 26" sheetId="28" r:id="rId27"/>
  </sheets>
  <calcPr calcId="181029"/>
</workbook>
</file>

<file path=xl/calcChain.xml><?xml version="1.0" encoding="utf-8"?>
<calcChain xmlns="http://schemas.openxmlformats.org/spreadsheetml/2006/main">
  <c r="L57" i="28" l="1"/>
  <c r="L56" i="28"/>
  <c r="L55" i="28"/>
  <c r="L54" i="28"/>
  <c r="L53" i="28"/>
  <c r="L52" i="28"/>
  <c r="L51" i="28"/>
  <c r="L50" i="28"/>
  <c r="L49" i="28"/>
  <c r="L48" i="28"/>
  <c r="L47" i="28"/>
  <c r="L46" i="28"/>
  <c r="L45" i="28"/>
  <c r="L44" i="28"/>
  <c r="L43" i="28"/>
  <c r="L42" i="28"/>
  <c r="L41" i="28"/>
  <c r="L40" i="28"/>
  <c r="L39" i="28"/>
  <c r="L38" i="28"/>
  <c r="L37" i="28"/>
  <c r="L36" i="28"/>
  <c r="L35" i="28"/>
  <c r="L34" i="28"/>
  <c r="L33" i="28"/>
  <c r="L32" i="28"/>
  <c r="L31" i="28"/>
  <c r="L30" i="28"/>
  <c r="L29" i="28"/>
  <c r="L28" i="28"/>
  <c r="L27" i="28"/>
  <c r="L26" i="28"/>
  <c r="L25" i="28"/>
  <c r="L24" i="28"/>
  <c r="L23" i="28"/>
  <c r="L22" i="28"/>
  <c r="L21" i="28"/>
  <c r="L20" i="28"/>
  <c r="L19" i="28"/>
  <c r="L18" i="28"/>
  <c r="L17" i="28"/>
  <c r="L16" i="28"/>
  <c r="L15" i="28"/>
  <c r="L14" i="28"/>
  <c r="L13" i="28"/>
  <c r="L12" i="28"/>
  <c r="L11" i="28"/>
  <c r="L10" i="28"/>
  <c r="L9" i="28"/>
  <c r="L8" i="28"/>
  <c r="L7" i="28"/>
  <c r="L6" i="28"/>
  <c r="L5" i="28"/>
  <c r="L4" i="28"/>
  <c r="L3" i="28"/>
  <c r="L66" i="27"/>
  <c r="L65" i="27"/>
  <c r="L64" i="27"/>
  <c r="L63" i="27"/>
  <c r="L62" i="27"/>
  <c r="L61" i="27"/>
  <c r="L60" i="27"/>
  <c r="L59" i="27"/>
  <c r="L58" i="27"/>
  <c r="L57" i="27"/>
  <c r="L56" i="27"/>
  <c r="L55" i="27"/>
  <c r="L54" i="27"/>
  <c r="L53" i="27"/>
  <c r="L52" i="27"/>
  <c r="L51" i="27"/>
  <c r="L50" i="27"/>
  <c r="L49" i="27"/>
  <c r="L48" i="27"/>
  <c r="L47" i="27"/>
  <c r="L46" i="27"/>
  <c r="L45" i="27"/>
  <c r="L44" i="27"/>
  <c r="L43" i="27"/>
  <c r="L42" i="27"/>
  <c r="L41" i="27"/>
  <c r="L40" i="27"/>
  <c r="L39" i="27"/>
  <c r="L38" i="27"/>
  <c r="L37" i="27"/>
  <c r="L36" i="27"/>
  <c r="L35" i="27"/>
  <c r="L34" i="27"/>
  <c r="L33" i="27"/>
  <c r="L32" i="27"/>
  <c r="L31" i="27"/>
  <c r="L30" i="27"/>
  <c r="L29" i="27"/>
  <c r="L28" i="27"/>
  <c r="L27" i="27"/>
  <c r="L26" i="27"/>
  <c r="L25" i="27"/>
  <c r="L24" i="27"/>
  <c r="L23" i="27"/>
  <c r="L22" i="27"/>
  <c r="L21" i="27"/>
  <c r="L20" i="27"/>
  <c r="L19" i="27"/>
  <c r="L18" i="27"/>
  <c r="L17" i="27"/>
  <c r="L16" i="27"/>
  <c r="L15" i="27"/>
  <c r="L14" i="27"/>
  <c r="L13" i="27"/>
  <c r="L12" i="27"/>
  <c r="L11" i="27"/>
  <c r="L10" i="27"/>
  <c r="L9" i="27"/>
  <c r="L8" i="27"/>
  <c r="L7" i="27"/>
  <c r="L6" i="27"/>
  <c r="L5" i="27"/>
  <c r="L4" i="27"/>
  <c r="L3" i="27"/>
  <c r="L2" i="27"/>
  <c r="L71" i="26"/>
  <c r="L70" i="26"/>
  <c r="L69" i="26"/>
  <c r="L68" i="26"/>
  <c r="L67" i="26"/>
  <c r="L66" i="26"/>
  <c r="L65" i="26"/>
  <c r="L64" i="26"/>
  <c r="L63" i="26"/>
  <c r="L62" i="26"/>
  <c r="L61" i="26"/>
  <c r="L60" i="26"/>
  <c r="L59" i="26"/>
  <c r="L58" i="26"/>
  <c r="L57" i="26"/>
  <c r="L56" i="26"/>
  <c r="L55" i="26"/>
  <c r="L54" i="26"/>
  <c r="L53" i="26"/>
  <c r="L52" i="26"/>
  <c r="L51" i="26"/>
  <c r="L50" i="26"/>
  <c r="L49" i="26"/>
  <c r="L48" i="26"/>
  <c r="L47" i="26"/>
  <c r="L46" i="26"/>
  <c r="L45" i="26"/>
  <c r="L44" i="26"/>
  <c r="L43" i="26"/>
  <c r="L42" i="26"/>
  <c r="L41" i="26"/>
  <c r="L40" i="26"/>
  <c r="L39" i="26"/>
  <c r="L38" i="26"/>
  <c r="L37" i="26"/>
  <c r="L36" i="26"/>
  <c r="L35" i="26"/>
  <c r="L34" i="26"/>
  <c r="L33" i="26"/>
  <c r="L32" i="26"/>
  <c r="L31" i="26"/>
  <c r="L30" i="26"/>
  <c r="L29" i="26"/>
  <c r="L28" i="26"/>
  <c r="L27" i="26"/>
  <c r="L26" i="26"/>
  <c r="L25" i="26"/>
  <c r="L24" i="26"/>
  <c r="L23" i="26"/>
  <c r="L22" i="26"/>
  <c r="L21" i="26"/>
  <c r="L20" i="26"/>
  <c r="L19" i="26"/>
  <c r="L18" i="26"/>
  <c r="L17" i="26"/>
  <c r="L16" i="26"/>
  <c r="L15" i="26"/>
  <c r="L14" i="26"/>
  <c r="L13" i="26"/>
  <c r="L12" i="26"/>
  <c r="L11" i="26"/>
  <c r="L10" i="26"/>
  <c r="L9" i="26"/>
  <c r="L8" i="26"/>
  <c r="L7" i="26"/>
  <c r="L6" i="26"/>
  <c r="L5" i="26"/>
  <c r="L4" i="26"/>
  <c r="L3" i="26"/>
  <c r="L2" i="26"/>
  <c r="L50" i="25"/>
  <c r="L49" i="25"/>
  <c r="L48" i="25"/>
  <c r="L47" i="25"/>
  <c r="L46" i="25"/>
  <c r="L45" i="25"/>
  <c r="L44" i="25"/>
  <c r="L43" i="25"/>
  <c r="L42" i="25"/>
  <c r="L41" i="25"/>
  <c r="L40" i="25"/>
  <c r="L39" i="25"/>
  <c r="L38" i="25"/>
  <c r="L37" i="25"/>
  <c r="L36" i="25"/>
  <c r="L35" i="25"/>
  <c r="L34" i="25"/>
  <c r="L33" i="25"/>
  <c r="L32" i="25"/>
  <c r="L31" i="25"/>
  <c r="L30" i="25"/>
  <c r="L29" i="25"/>
  <c r="L28" i="25"/>
  <c r="L27" i="25"/>
  <c r="L26" i="25"/>
  <c r="L25" i="25"/>
  <c r="L24" i="25"/>
  <c r="L23" i="25"/>
  <c r="L22" i="25"/>
  <c r="L21" i="25"/>
  <c r="L20" i="25"/>
  <c r="L19" i="25"/>
  <c r="L18" i="25"/>
  <c r="L17" i="25"/>
  <c r="L16" i="25"/>
  <c r="L15" i="25"/>
  <c r="L14" i="25"/>
  <c r="L13" i="25"/>
  <c r="L12" i="25"/>
  <c r="L11" i="25"/>
  <c r="L10" i="25"/>
  <c r="L9" i="25"/>
  <c r="L8" i="25"/>
  <c r="L7" i="25"/>
  <c r="L6" i="25"/>
  <c r="L5" i="25"/>
  <c r="L4" i="25"/>
  <c r="L3" i="25"/>
  <c r="L2" i="25"/>
  <c r="L67" i="24"/>
  <c r="L66" i="24"/>
  <c r="L65" i="24"/>
  <c r="L64" i="24"/>
  <c r="L63" i="24"/>
  <c r="L62" i="24"/>
  <c r="L61" i="24"/>
  <c r="L60" i="24"/>
  <c r="L59" i="24"/>
  <c r="L58" i="24"/>
  <c r="L57" i="24"/>
  <c r="L56" i="24"/>
  <c r="L55" i="24"/>
  <c r="L54" i="24"/>
  <c r="L53" i="24"/>
  <c r="L52" i="24"/>
  <c r="L51" i="24"/>
  <c r="L50" i="24"/>
  <c r="L49" i="24"/>
  <c r="L48" i="24"/>
  <c r="L47" i="24"/>
  <c r="L46" i="24"/>
  <c r="L45" i="24"/>
  <c r="L44" i="24"/>
  <c r="L43" i="24"/>
  <c r="L42" i="24"/>
  <c r="L41" i="24"/>
  <c r="L40" i="24"/>
  <c r="L39" i="24"/>
  <c r="L38" i="24"/>
  <c r="L37" i="24"/>
  <c r="L36" i="24"/>
  <c r="L35" i="24"/>
  <c r="L34" i="24"/>
  <c r="L33" i="24"/>
  <c r="L32" i="24"/>
  <c r="L31" i="24"/>
  <c r="L30" i="24"/>
  <c r="L29" i="24"/>
  <c r="L28" i="24"/>
  <c r="L27" i="24"/>
  <c r="L26" i="24"/>
  <c r="L25" i="24"/>
  <c r="L24" i="24"/>
  <c r="L23" i="24"/>
  <c r="L22" i="24"/>
  <c r="L21" i="24"/>
  <c r="L20" i="24"/>
  <c r="L19" i="24"/>
  <c r="L18" i="24"/>
  <c r="L17" i="24"/>
  <c r="L16" i="24"/>
  <c r="L15" i="24"/>
  <c r="L14" i="24"/>
  <c r="L13" i="24"/>
  <c r="L12" i="24"/>
  <c r="L11" i="24"/>
  <c r="L10" i="24"/>
  <c r="L9" i="24"/>
  <c r="L8" i="24"/>
  <c r="L7" i="24"/>
  <c r="L6" i="24"/>
  <c r="L5" i="24"/>
  <c r="L4" i="24"/>
  <c r="L3" i="24"/>
  <c r="L2" i="24"/>
  <c r="L50" i="23"/>
  <c r="L49" i="23"/>
  <c r="L48" i="23"/>
  <c r="L47" i="23"/>
  <c r="L46" i="23"/>
  <c r="L45" i="23"/>
  <c r="L44" i="23"/>
  <c r="L43" i="23"/>
  <c r="L42" i="23"/>
  <c r="L41" i="23"/>
  <c r="L40" i="23"/>
  <c r="L39" i="23"/>
  <c r="L38" i="23"/>
  <c r="L37" i="23"/>
  <c r="L36" i="23"/>
  <c r="L35" i="23"/>
  <c r="L34" i="23"/>
  <c r="L33" i="23"/>
  <c r="L32" i="23"/>
  <c r="L31" i="23"/>
  <c r="L30" i="23"/>
  <c r="L29" i="23"/>
  <c r="L28" i="23"/>
  <c r="L27" i="23"/>
  <c r="L26" i="23"/>
  <c r="L25" i="23"/>
  <c r="L24" i="23"/>
  <c r="L23" i="23"/>
  <c r="L22" i="23"/>
  <c r="L21" i="23"/>
  <c r="L20" i="23"/>
  <c r="L19" i="23"/>
  <c r="L18" i="23"/>
  <c r="L17" i="23"/>
  <c r="L16" i="23"/>
  <c r="L15" i="23"/>
  <c r="L14" i="23"/>
  <c r="L13" i="23"/>
  <c r="L12" i="23"/>
  <c r="L11" i="23"/>
  <c r="L10" i="23"/>
  <c r="L9" i="23"/>
  <c r="L8" i="23"/>
  <c r="L7" i="23"/>
  <c r="L6" i="23"/>
  <c r="L5" i="23"/>
  <c r="L4" i="23"/>
  <c r="L3" i="23"/>
  <c r="L2" i="23"/>
  <c r="L41" i="22"/>
  <c r="L40" i="22"/>
  <c r="L39" i="22"/>
  <c r="L38" i="22"/>
  <c r="L37" i="22"/>
  <c r="L36" i="22"/>
  <c r="L35" i="22"/>
  <c r="L34" i="22"/>
  <c r="L33" i="22"/>
  <c r="L32" i="22"/>
  <c r="L31" i="22"/>
  <c r="L30" i="22"/>
  <c r="L29" i="22"/>
  <c r="L28" i="22"/>
  <c r="L27" i="22"/>
  <c r="L26" i="22"/>
  <c r="L25" i="22"/>
  <c r="L24" i="22"/>
  <c r="L23" i="22"/>
  <c r="L22" i="22"/>
  <c r="L21" i="22"/>
  <c r="L20" i="22"/>
  <c r="L19" i="22"/>
  <c r="L18" i="22"/>
  <c r="L17" i="22"/>
  <c r="L16" i="22"/>
  <c r="L15" i="22"/>
  <c r="L14" i="22"/>
  <c r="L13" i="22"/>
  <c r="L12" i="22"/>
  <c r="L11" i="22"/>
  <c r="L10" i="22"/>
  <c r="L9" i="22"/>
  <c r="L8" i="22"/>
  <c r="L7" i="22"/>
  <c r="L6" i="22"/>
  <c r="L5" i="22"/>
  <c r="L4" i="22"/>
  <c r="L3" i="22"/>
  <c r="L2" i="22"/>
  <c r="L46" i="21"/>
  <c r="L45" i="21"/>
  <c r="L44" i="21"/>
  <c r="L43" i="21"/>
  <c r="L42" i="21"/>
  <c r="L41" i="21"/>
  <c r="L40" i="21"/>
  <c r="L39" i="21"/>
  <c r="L38" i="21"/>
  <c r="L37" i="21"/>
  <c r="L36" i="21"/>
  <c r="L35" i="21"/>
  <c r="L34" i="21"/>
  <c r="L33" i="21"/>
  <c r="L32" i="21"/>
  <c r="L31" i="21"/>
  <c r="L30" i="21"/>
  <c r="L29" i="21"/>
  <c r="L28" i="21"/>
  <c r="L27" i="21"/>
  <c r="L26" i="21"/>
  <c r="L25" i="21"/>
  <c r="L24" i="21"/>
  <c r="L23" i="21"/>
  <c r="L22" i="21"/>
  <c r="L21" i="21"/>
  <c r="L20" i="21"/>
  <c r="L19" i="21"/>
  <c r="L18" i="21"/>
  <c r="L17" i="21"/>
  <c r="L16" i="21"/>
  <c r="L15" i="21"/>
  <c r="L14" i="21"/>
  <c r="L13" i="21"/>
  <c r="L12" i="21"/>
  <c r="L11" i="21"/>
  <c r="L10" i="21"/>
  <c r="L9" i="21"/>
  <c r="L8" i="21"/>
  <c r="L7" i="21"/>
  <c r="L6" i="21"/>
  <c r="L5" i="21"/>
  <c r="L4" i="21"/>
  <c r="L3" i="21"/>
  <c r="L2" i="21"/>
  <c r="L59" i="20"/>
  <c r="L58" i="20"/>
  <c r="L57" i="20"/>
  <c r="L56" i="20"/>
  <c r="L55" i="20"/>
  <c r="L54" i="20"/>
  <c r="L53" i="20"/>
  <c r="L52" i="20"/>
  <c r="L51" i="20"/>
  <c r="L50" i="20"/>
  <c r="L49" i="20"/>
  <c r="L48" i="20"/>
  <c r="L47" i="20"/>
  <c r="L46" i="20"/>
  <c r="L45" i="20"/>
  <c r="L44" i="20"/>
  <c r="L43" i="20"/>
  <c r="L42" i="20"/>
  <c r="L41" i="20"/>
  <c r="L40" i="20"/>
  <c r="L39" i="20"/>
  <c r="L38" i="20"/>
  <c r="L37" i="20"/>
  <c r="L36" i="20"/>
  <c r="L35" i="20"/>
  <c r="L34" i="20"/>
  <c r="L33" i="20"/>
  <c r="L32" i="20"/>
  <c r="L31" i="20"/>
  <c r="L30" i="20"/>
  <c r="L29" i="20"/>
  <c r="L28" i="20"/>
  <c r="L27" i="20"/>
  <c r="L26" i="20"/>
  <c r="L25" i="20"/>
  <c r="L24" i="20"/>
  <c r="L23" i="20"/>
  <c r="L22" i="20"/>
  <c r="L21" i="20"/>
  <c r="L20" i="20"/>
  <c r="L19" i="20"/>
  <c r="L18" i="20"/>
  <c r="L17" i="20"/>
  <c r="L16" i="20"/>
  <c r="L15" i="20"/>
  <c r="L14" i="20"/>
  <c r="L13" i="20"/>
  <c r="L12" i="20"/>
  <c r="L11" i="20"/>
  <c r="L10" i="20"/>
  <c r="L9" i="20"/>
  <c r="L8" i="20"/>
  <c r="L7" i="20"/>
  <c r="L6" i="20"/>
  <c r="L5" i="20"/>
  <c r="L4" i="20"/>
  <c r="L3" i="20"/>
  <c r="L2" i="20"/>
  <c r="L62" i="19"/>
  <c r="L61" i="19"/>
  <c r="L60" i="19"/>
  <c r="L59" i="19"/>
  <c r="L58" i="19"/>
  <c r="L57" i="19"/>
  <c r="L56" i="19"/>
  <c r="L55" i="19"/>
  <c r="L54" i="19"/>
  <c r="L53" i="19"/>
  <c r="L52" i="19"/>
  <c r="L51" i="19"/>
  <c r="L50" i="19"/>
  <c r="L49" i="19"/>
  <c r="L48" i="19"/>
  <c r="L47" i="19"/>
  <c r="L46" i="19"/>
  <c r="L45" i="19"/>
  <c r="L44" i="19"/>
  <c r="L43" i="19"/>
  <c r="L42" i="19"/>
  <c r="L41" i="19"/>
  <c r="L40" i="19"/>
  <c r="L39" i="19"/>
  <c r="L38" i="19"/>
  <c r="L37" i="19"/>
  <c r="L36" i="19"/>
  <c r="L35" i="19"/>
  <c r="L34" i="19"/>
  <c r="L33" i="19"/>
  <c r="L32" i="19"/>
  <c r="L31" i="19"/>
  <c r="L30" i="19"/>
  <c r="L29" i="19"/>
  <c r="L28" i="19"/>
  <c r="L27" i="19"/>
  <c r="L26" i="19"/>
  <c r="L25" i="19"/>
  <c r="L24" i="19"/>
  <c r="L23" i="19"/>
  <c r="L22" i="19"/>
  <c r="L21" i="19"/>
  <c r="L20" i="19"/>
  <c r="L19" i="19"/>
  <c r="L18" i="19"/>
  <c r="L17" i="19"/>
  <c r="L16" i="19"/>
  <c r="L15" i="19"/>
  <c r="L14" i="19"/>
  <c r="L13" i="19"/>
  <c r="L12" i="19"/>
  <c r="L11" i="19"/>
  <c r="L10" i="19"/>
  <c r="L9" i="19"/>
  <c r="L8" i="19"/>
  <c r="L7" i="19"/>
  <c r="L6" i="19"/>
  <c r="L5" i="19"/>
  <c r="L4" i="19"/>
  <c r="L3" i="19"/>
  <c r="L2" i="19"/>
  <c r="L64" i="18"/>
  <c r="L63" i="18"/>
  <c r="L62" i="18"/>
  <c r="L61" i="18"/>
  <c r="L60" i="18"/>
  <c r="L59" i="18"/>
  <c r="L58" i="18"/>
  <c r="L57" i="18"/>
  <c r="L56" i="18"/>
  <c r="L55" i="18"/>
  <c r="L54" i="18"/>
  <c r="L53" i="18"/>
  <c r="L52" i="18"/>
  <c r="L51" i="18"/>
  <c r="L50" i="18"/>
  <c r="L49" i="18"/>
  <c r="L48" i="18"/>
  <c r="L47" i="18"/>
  <c r="L46" i="18"/>
  <c r="L45" i="18"/>
  <c r="L44" i="18"/>
  <c r="L43" i="18"/>
  <c r="L42" i="18"/>
  <c r="L41" i="18"/>
  <c r="L40" i="18"/>
  <c r="L39" i="18"/>
  <c r="L38" i="18"/>
  <c r="L37" i="18"/>
  <c r="L36" i="18"/>
  <c r="L35" i="18"/>
  <c r="L34" i="18"/>
  <c r="L33" i="18"/>
  <c r="L32" i="18"/>
  <c r="L31" i="18"/>
  <c r="L30" i="18"/>
  <c r="L29" i="18"/>
  <c r="L28" i="18"/>
  <c r="L27" i="18"/>
  <c r="L26" i="18"/>
  <c r="L25" i="18"/>
  <c r="L24" i="18"/>
  <c r="L23" i="18"/>
  <c r="L22" i="18"/>
  <c r="L21" i="18"/>
  <c r="L20" i="18"/>
  <c r="L19" i="18"/>
  <c r="L18" i="18"/>
  <c r="L17" i="18"/>
  <c r="L16" i="18"/>
  <c r="L15" i="18"/>
  <c r="L14" i="18"/>
  <c r="L13" i="18"/>
  <c r="L12" i="18"/>
  <c r="L11" i="18"/>
  <c r="L10" i="18"/>
  <c r="L9" i="18"/>
  <c r="L8" i="18"/>
  <c r="L7" i="18"/>
  <c r="L6" i="18"/>
  <c r="L5" i="18"/>
  <c r="L4" i="18"/>
  <c r="L3" i="18"/>
  <c r="L2" i="18"/>
  <c r="L53" i="17"/>
  <c r="L52" i="17"/>
  <c r="L51" i="17"/>
  <c r="L50" i="17"/>
  <c r="L49" i="17"/>
  <c r="L48" i="17"/>
  <c r="L47" i="17"/>
  <c r="L46" i="17"/>
  <c r="L45" i="17"/>
  <c r="L44" i="17"/>
  <c r="L43" i="17"/>
  <c r="L42" i="17"/>
  <c r="L41" i="17"/>
  <c r="L40" i="17"/>
  <c r="L39" i="17"/>
  <c r="L38" i="17"/>
  <c r="L37" i="17"/>
  <c r="L36" i="17"/>
  <c r="L35" i="17"/>
  <c r="L34" i="17"/>
  <c r="L33" i="17"/>
  <c r="L32" i="17"/>
  <c r="L31" i="17"/>
  <c r="L30" i="17"/>
  <c r="L29" i="17"/>
  <c r="L28" i="17"/>
  <c r="L27" i="17"/>
  <c r="L26" i="17"/>
  <c r="L25" i="17"/>
  <c r="L24" i="17"/>
  <c r="L23" i="17"/>
  <c r="L22" i="17"/>
  <c r="L21" i="17"/>
  <c r="L20" i="17"/>
  <c r="L19" i="17"/>
  <c r="L18" i="17"/>
  <c r="L17" i="17"/>
  <c r="L16" i="17"/>
  <c r="L15" i="17"/>
  <c r="L14" i="17"/>
  <c r="L13" i="17"/>
  <c r="L12" i="17"/>
  <c r="L11" i="17"/>
  <c r="L10" i="17"/>
  <c r="L9" i="17"/>
  <c r="L8" i="17"/>
  <c r="L7" i="17"/>
  <c r="L6" i="17"/>
  <c r="L5" i="17"/>
  <c r="L4" i="17"/>
  <c r="L3" i="17"/>
  <c r="L2" i="17"/>
  <c r="L62" i="15"/>
  <c r="L61" i="15"/>
  <c r="L60" i="15"/>
  <c r="L59" i="15"/>
  <c r="L58" i="15"/>
  <c r="L57" i="15"/>
  <c r="L56" i="15"/>
  <c r="L55" i="15"/>
  <c r="L54" i="15"/>
  <c r="L53" i="15"/>
  <c r="L52" i="15"/>
  <c r="L51" i="15"/>
  <c r="L50" i="15"/>
  <c r="L49" i="15"/>
  <c r="L48" i="15"/>
  <c r="L47" i="15"/>
  <c r="L46" i="15"/>
  <c r="L45" i="15"/>
  <c r="L44" i="15"/>
  <c r="L43" i="15"/>
  <c r="L42" i="15"/>
  <c r="L41" i="15"/>
  <c r="L40" i="15"/>
  <c r="L39" i="15"/>
  <c r="L38" i="15"/>
  <c r="L37" i="15"/>
  <c r="L36" i="15"/>
  <c r="L35" i="15"/>
  <c r="L34" i="15"/>
  <c r="L33" i="15"/>
  <c r="L32" i="15"/>
  <c r="L31" i="15"/>
  <c r="L30" i="15"/>
  <c r="L29" i="15"/>
  <c r="L28" i="15"/>
  <c r="L27" i="15"/>
  <c r="L26" i="15"/>
  <c r="L25" i="15"/>
  <c r="L24" i="15"/>
  <c r="L23" i="15"/>
  <c r="L22" i="15"/>
  <c r="L21" i="15"/>
  <c r="L20" i="15"/>
  <c r="L19" i="15"/>
  <c r="L18" i="15"/>
  <c r="L17" i="15"/>
  <c r="L16" i="15"/>
  <c r="L15" i="15"/>
  <c r="L14" i="15"/>
  <c r="L13" i="15"/>
  <c r="L12" i="15"/>
  <c r="L11" i="15"/>
  <c r="L10" i="15"/>
  <c r="L9" i="15"/>
  <c r="L8" i="15"/>
  <c r="L7" i="15"/>
  <c r="L6" i="15"/>
  <c r="L5" i="15"/>
  <c r="L4" i="15"/>
  <c r="L3" i="15"/>
  <c r="L2" i="15"/>
  <c r="L51" i="14"/>
  <c r="L50" i="14"/>
  <c r="L49" i="14"/>
  <c r="L48" i="14"/>
  <c r="L47" i="14"/>
  <c r="L46" i="14"/>
  <c r="L45" i="14"/>
  <c r="L44" i="14"/>
  <c r="L43" i="14"/>
  <c r="L42" i="14"/>
  <c r="L41" i="14"/>
  <c r="L40" i="14"/>
  <c r="L39" i="14"/>
  <c r="L38" i="14"/>
  <c r="L37" i="14"/>
  <c r="L36" i="14"/>
  <c r="L35" i="14"/>
  <c r="L34" i="14"/>
  <c r="L33" i="14"/>
  <c r="L32" i="14"/>
  <c r="L31" i="14"/>
  <c r="L30" i="14"/>
  <c r="L29" i="14"/>
  <c r="L28" i="14"/>
  <c r="L27" i="14"/>
  <c r="L26" i="14"/>
  <c r="L25" i="14"/>
  <c r="L24" i="14"/>
  <c r="L23" i="14"/>
  <c r="L22" i="14"/>
  <c r="L21" i="14"/>
  <c r="L20" i="14"/>
  <c r="L19" i="14"/>
  <c r="L18" i="14"/>
  <c r="L17" i="14"/>
  <c r="L16" i="14"/>
  <c r="L15" i="14"/>
  <c r="L14" i="14"/>
  <c r="L13" i="14"/>
  <c r="L12" i="14"/>
  <c r="L11" i="14"/>
  <c r="L10" i="14"/>
  <c r="L9" i="14"/>
  <c r="L8" i="14"/>
  <c r="L7" i="14"/>
  <c r="L6" i="14"/>
  <c r="L5" i="14"/>
  <c r="L4" i="14"/>
  <c r="L3" i="14"/>
  <c r="L2" i="14"/>
  <c r="L52" i="13"/>
  <c r="L51" i="13"/>
  <c r="L50" i="13"/>
  <c r="L49" i="13"/>
  <c r="L48" i="13"/>
  <c r="L47" i="13"/>
  <c r="L46" i="13"/>
  <c r="L45" i="13"/>
  <c r="L44" i="13"/>
  <c r="L43" i="13"/>
  <c r="L42" i="13"/>
  <c r="L41" i="13"/>
  <c r="L40" i="13"/>
  <c r="L39" i="13"/>
  <c r="L38" i="13"/>
  <c r="L37" i="13"/>
  <c r="L36" i="13"/>
  <c r="L35" i="13"/>
  <c r="L34" i="13"/>
  <c r="L33" i="13"/>
  <c r="L32" i="13"/>
  <c r="L31" i="13"/>
  <c r="L30" i="13"/>
  <c r="L29" i="13"/>
  <c r="L28" i="13"/>
  <c r="L27" i="13"/>
  <c r="L26" i="13"/>
  <c r="L25" i="13"/>
  <c r="L24" i="13"/>
  <c r="L23" i="13"/>
  <c r="L22" i="13"/>
  <c r="L21" i="13"/>
  <c r="L20" i="13"/>
  <c r="L19" i="13"/>
  <c r="L18" i="13"/>
  <c r="L17" i="13"/>
  <c r="L16" i="13"/>
  <c r="L15" i="13"/>
  <c r="L14" i="13"/>
  <c r="L13" i="13"/>
  <c r="L12" i="13"/>
  <c r="L11" i="13"/>
  <c r="L10" i="13"/>
  <c r="L9" i="13"/>
  <c r="L8" i="13"/>
  <c r="L7" i="13"/>
  <c r="L6" i="13"/>
  <c r="L5" i="13"/>
  <c r="L4" i="13"/>
  <c r="L3" i="13"/>
  <c r="L2" i="13"/>
  <c r="L54" i="12"/>
  <c r="L53" i="12"/>
  <c r="L52" i="12"/>
  <c r="L51" i="12"/>
  <c r="L50" i="12"/>
  <c r="L49" i="12"/>
  <c r="L48" i="12"/>
  <c r="L47" i="12"/>
  <c r="L46" i="12"/>
  <c r="L45" i="12"/>
  <c r="L44" i="12"/>
  <c r="L43" i="12"/>
  <c r="L42" i="12"/>
  <c r="L41" i="12"/>
  <c r="L40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5" i="12"/>
  <c r="L4" i="12"/>
  <c r="L3" i="12"/>
  <c r="L2" i="12"/>
  <c r="L54" i="11"/>
  <c r="L53" i="11"/>
  <c r="L52" i="11"/>
  <c r="L51" i="11"/>
  <c r="L50" i="11"/>
  <c r="L49" i="11"/>
  <c r="L48" i="11"/>
  <c r="L47" i="11"/>
  <c r="L46" i="11"/>
  <c r="L45" i="11"/>
  <c r="L44" i="11"/>
  <c r="L43" i="11"/>
  <c r="L42" i="11"/>
  <c r="L41" i="11"/>
  <c r="L40" i="11"/>
  <c r="L39" i="11"/>
  <c r="L38" i="11"/>
  <c r="L37" i="11"/>
  <c r="L36" i="11"/>
  <c r="L35" i="11"/>
  <c r="L34" i="11"/>
  <c r="L33" i="11"/>
  <c r="L32" i="11"/>
  <c r="L31" i="11"/>
  <c r="L30" i="11"/>
  <c r="L29" i="11"/>
  <c r="L28" i="11"/>
  <c r="L27" i="11"/>
  <c r="L26" i="11"/>
  <c r="L25" i="11"/>
  <c r="L24" i="11"/>
  <c r="L23" i="11"/>
  <c r="L22" i="11"/>
  <c r="L21" i="11"/>
  <c r="L20" i="11"/>
  <c r="L19" i="11"/>
  <c r="L18" i="11"/>
  <c r="L17" i="11"/>
  <c r="L16" i="11"/>
  <c r="L15" i="11"/>
  <c r="L14" i="11"/>
  <c r="L13" i="11"/>
  <c r="L12" i="11"/>
  <c r="L11" i="11"/>
  <c r="L10" i="11"/>
  <c r="L9" i="11"/>
  <c r="L8" i="11"/>
  <c r="L7" i="11"/>
  <c r="L6" i="11"/>
  <c r="L5" i="11"/>
  <c r="L4" i="11"/>
  <c r="L3" i="11"/>
  <c r="L2" i="11"/>
  <c r="L47" i="10"/>
  <c r="L46" i="10"/>
  <c r="L45" i="10"/>
  <c r="L44" i="10"/>
  <c r="L43" i="10"/>
  <c r="L42" i="10"/>
  <c r="L41" i="10"/>
  <c r="L40" i="10"/>
  <c r="L39" i="10"/>
  <c r="L38" i="10"/>
  <c r="L37" i="10"/>
  <c r="L36" i="10"/>
  <c r="L35" i="10"/>
  <c r="L34" i="10"/>
  <c r="L33" i="10"/>
  <c r="L32" i="10"/>
  <c r="L31" i="10"/>
  <c r="L30" i="10"/>
  <c r="L29" i="10"/>
  <c r="L28" i="10"/>
  <c r="L27" i="10"/>
  <c r="L26" i="10"/>
  <c r="L25" i="10"/>
  <c r="L24" i="10"/>
  <c r="L23" i="10"/>
  <c r="L22" i="10"/>
  <c r="L21" i="10"/>
  <c r="L20" i="10"/>
  <c r="L19" i="10"/>
  <c r="L18" i="10"/>
  <c r="L17" i="10"/>
  <c r="L16" i="10"/>
  <c r="L15" i="10"/>
  <c r="L14" i="10"/>
  <c r="L13" i="10"/>
  <c r="L12" i="10"/>
  <c r="L11" i="10"/>
  <c r="L10" i="10"/>
  <c r="L9" i="10"/>
  <c r="L8" i="10"/>
  <c r="L7" i="10"/>
  <c r="L6" i="10"/>
  <c r="L5" i="10"/>
  <c r="L4" i="10"/>
  <c r="L3" i="10"/>
  <c r="L2" i="10"/>
  <c r="L58" i="9"/>
  <c r="L57" i="9"/>
  <c r="L56" i="9"/>
  <c r="L55" i="9"/>
  <c r="L54" i="9"/>
  <c r="L53" i="9"/>
  <c r="L52" i="9"/>
  <c r="L51" i="9"/>
  <c r="L50" i="9"/>
  <c r="L49" i="9"/>
  <c r="L48" i="9"/>
  <c r="L47" i="9"/>
  <c r="L46" i="9"/>
  <c r="L45" i="9"/>
  <c r="L44" i="9"/>
  <c r="L43" i="9"/>
  <c r="L42" i="9"/>
  <c r="L41" i="9"/>
  <c r="L40" i="9"/>
  <c r="L39" i="9"/>
  <c r="L38" i="9"/>
  <c r="L37" i="9"/>
  <c r="L36" i="9"/>
  <c r="L35" i="9"/>
  <c r="L34" i="9"/>
  <c r="L33" i="9"/>
  <c r="L32" i="9"/>
  <c r="L31" i="9"/>
  <c r="L30" i="9"/>
  <c r="L29" i="9"/>
  <c r="L28" i="9"/>
  <c r="L27" i="9"/>
  <c r="L26" i="9"/>
  <c r="L25" i="9"/>
  <c r="L24" i="9"/>
  <c r="L23" i="9"/>
  <c r="L22" i="9"/>
  <c r="L21" i="9"/>
  <c r="L20" i="9"/>
  <c r="L19" i="9"/>
  <c r="L18" i="9"/>
  <c r="L17" i="9"/>
  <c r="L16" i="9"/>
  <c r="L15" i="9"/>
  <c r="L14" i="9"/>
  <c r="L13" i="9"/>
  <c r="L12" i="9"/>
  <c r="L11" i="9"/>
  <c r="L10" i="9"/>
  <c r="L9" i="9"/>
  <c r="L8" i="9"/>
  <c r="L7" i="9"/>
  <c r="L6" i="9"/>
  <c r="L5" i="9"/>
  <c r="L4" i="9"/>
  <c r="L3" i="9"/>
  <c r="L2" i="9"/>
  <c r="L59" i="8"/>
  <c r="L58" i="8"/>
  <c r="L57" i="8"/>
  <c r="L56" i="8"/>
  <c r="L55" i="8"/>
  <c r="L54" i="8"/>
  <c r="L53" i="8"/>
  <c r="L52" i="8"/>
  <c r="L51" i="8"/>
  <c r="L50" i="8"/>
  <c r="L49" i="8"/>
  <c r="L48" i="8"/>
  <c r="L47" i="8"/>
  <c r="L46" i="8"/>
  <c r="L45" i="8"/>
  <c r="L44" i="8"/>
  <c r="L43" i="8"/>
  <c r="L42" i="8"/>
  <c r="L41" i="8"/>
  <c r="L40" i="8"/>
  <c r="L39" i="8"/>
  <c r="L38" i="8"/>
  <c r="L37" i="8"/>
  <c r="L36" i="8"/>
  <c r="L35" i="8"/>
  <c r="L34" i="8"/>
  <c r="L33" i="8"/>
  <c r="L32" i="8"/>
  <c r="L31" i="8"/>
  <c r="L30" i="8"/>
  <c r="L29" i="8"/>
  <c r="L28" i="8"/>
  <c r="L27" i="8"/>
  <c r="L26" i="8"/>
  <c r="L25" i="8"/>
  <c r="L24" i="8"/>
  <c r="L23" i="8"/>
  <c r="L22" i="8"/>
  <c r="L21" i="8"/>
  <c r="L20" i="8"/>
  <c r="L19" i="8"/>
  <c r="L18" i="8"/>
  <c r="L17" i="8"/>
  <c r="L16" i="8"/>
  <c r="L15" i="8"/>
  <c r="L14" i="8"/>
  <c r="L13" i="8"/>
  <c r="L12" i="8"/>
  <c r="L11" i="8"/>
  <c r="L10" i="8"/>
  <c r="L9" i="8"/>
  <c r="L8" i="8"/>
  <c r="L7" i="8"/>
  <c r="L6" i="8"/>
  <c r="L5" i="8"/>
  <c r="L4" i="8"/>
  <c r="L3" i="8"/>
  <c r="L2" i="8"/>
  <c r="L55" i="7"/>
  <c r="L54" i="7"/>
  <c r="L53" i="7"/>
  <c r="L52" i="7"/>
  <c r="L51" i="7"/>
  <c r="L50" i="7"/>
  <c r="L49" i="7"/>
  <c r="L48" i="7"/>
  <c r="L47" i="7"/>
  <c r="L46" i="7"/>
  <c r="L45" i="7"/>
  <c r="L44" i="7"/>
  <c r="L43" i="7"/>
  <c r="L42" i="7"/>
  <c r="L41" i="7"/>
  <c r="L40" i="7"/>
  <c r="L39" i="7"/>
  <c r="L38" i="7"/>
  <c r="L37" i="7"/>
  <c r="L36" i="7"/>
  <c r="L35" i="7"/>
  <c r="L34" i="7"/>
  <c r="L33" i="7"/>
  <c r="L32" i="7"/>
  <c r="L31" i="7"/>
  <c r="L30" i="7"/>
  <c r="L29" i="7"/>
  <c r="L28" i="7"/>
  <c r="L27" i="7"/>
  <c r="L26" i="7"/>
  <c r="L25" i="7"/>
  <c r="L24" i="7"/>
  <c r="L23" i="7"/>
  <c r="L22" i="7"/>
  <c r="L21" i="7"/>
  <c r="L20" i="7"/>
  <c r="L19" i="7"/>
  <c r="L18" i="7"/>
  <c r="L17" i="7"/>
  <c r="L16" i="7"/>
  <c r="L15" i="7"/>
  <c r="L14" i="7"/>
  <c r="L13" i="7"/>
  <c r="L12" i="7"/>
  <c r="L11" i="7"/>
  <c r="L10" i="7"/>
  <c r="L9" i="7"/>
  <c r="L8" i="7"/>
  <c r="L7" i="7"/>
  <c r="L6" i="7"/>
  <c r="L5" i="7"/>
  <c r="L4" i="7"/>
  <c r="L3" i="7"/>
  <c r="L2" i="7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L3" i="6"/>
  <c r="L2" i="6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L42" i="5"/>
  <c r="L41" i="5"/>
  <c r="L40" i="5"/>
  <c r="L39" i="5"/>
  <c r="L38" i="5"/>
  <c r="L37" i="5"/>
  <c r="L36" i="5"/>
  <c r="L35" i="5"/>
  <c r="L34" i="5"/>
  <c r="L33" i="5"/>
  <c r="L32" i="5"/>
  <c r="L31" i="5"/>
  <c r="L30" i="5"/>
  <c r="L29" i="5"/>
  <c r="L28" i="5"/>
  <c r="L27" i="5"/>
  <c r="L26" i="5"/>
  <c r="L25" i="5"/>
  <c r="L24" i="5"/>
  <c r="L23" i="5"/>
  <c r="L22" i="5"/>
  <c r="L21" i="5"/>
  <c r="L20" i="5"/>
  <c r="L19" i="5"/>
  <c r="L18" i="5"/>
  <c r="L17" i="5"/>
  <c r="L16" i="5"/>
  <c r="L15" i="5"/>
  <c r="L14" i="5"/>
  <c r="L13" i="5"/>
  <c r="L12" i="5"/>
  <c r="L11" i="5"/>
  <c r="L10" i="5"/>
  <c r="L9" i="5"/>
  <c r="L8" i="5"/>
  <c r="L7" i="5"/>
  <c r="L6" i="5"/>
  <c r="L5" i="5"/>
  <c r="L4" i="5"/>
  <c r="L3" i="5"/>
  <c r="L2" i="5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L3" i="4"/>
  <c r="L2" i="4"/>
  <c r="L61" i="3"/>
  <c r="L60" i="3"/>
  <c r="L59" i="3"/>
  <c r="L58" i="3"/>
  <c r="L57" i="3"/>
  <c r="L56" i="3"/>
  <c r="L55" i="3"/>
  <c r="L54" i="3"/>
  <c r="L53" i="3"/>
  <c r="L52" i="3"/>
  <c r="L51" i="3"/>
  <c r="L50" i="3"/>
  <c r="L49" i="3"/>
  <c r="L48" i="3"/>
  <c r="L47" i="3"/>
  <c r="L46" i="3"/>
  <c r="L45" i="3"/>
  <c r="L44" i="3"/>
  <c r="L43" i="3"/>
  <c r="L42" i="3"/>
  <c r="L41" i="3"/>
  <c r="L40" i="3"/>
  <c r="L39" i="3"/>
  <c r="L38" i="3"/>
  <c r="L37" i="3"/>
  <c r="L36" i="3"/>
  <c r="L35" i="3"/>
  <c r="L34" i="3"/>
  <c r="L33" i="3"/>
  <c r="L32" i="3"/>
  <c r="L31" i="3"/>
  <c r="L30" i="3"/>
  <c r="L29" i="3"/>
  <c r="L28" i="3"/>
  <c r="L27" i="3"/>
  <c r="L26" i="3"/>
  <c r="L25" i="3"/>
  <c r="L24" i="3"/>
  <c r="L23" i="3"/>
  <c r="L22" i="3"/>
  <c r="L21" i="3"/>
  <c r="L20" i="3"/>
  <c r="L19" i="3"/>
  <c r="L18" i="3"/>
  <c r="L17" i="3"/>
  <c r="L16" i="3"/>
  <c r="L15" i="3"/>
  <c r="L14" i="3"/>
  <c r="L13" i="3"/>
  <c r="L12" i="3"/>
  <c r="L11" i="3"/>
  <c r="L10" i="3"/>
  <c r="L9" i="3"/>
  <c r="L8" i="3"/>
  <c r="L7" i="3"/>
  <c r="L6" i="3"/>
  <c r="L5" i="3"/>
  <c r="L4" i="3"/>
  <c r="L3" i="3"/>
  <c r="L2" i="3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L14" i="2"/>
  <c r="L13" i="2"/>
  <c r="L12" i="2"/>
  <c r="L11" i="2"/>
  <c r="L10" i="2"/>
  <c r="L9" i="2"/>
  <c r="L8" i="2"/>
  <c r="L7" i="2"/>
  <c r="L6" i="2"/>
  <c r="L5" i="2"/>
  <c r="L4" i="2"/>
  <c r="L3" i="2"/>
  <c r="L2" i="2"/>
  <c r="B28" i="1"/>
  <c r="A28" i="1"/>
</calcChain>
</file>

<file path=xl/sharedStrings.xml><?xml version="1.0" encoding="utf-8"?>
<sst xmlns="http://schemas.openxmlformats.org/spreadsheetml/2006/main" count="11378" uniqueCount="4359">
  <si>
    <t>Hotel Collection Hotel Collection Cambria Quilt White King Sham</t>
  </si>
  <si>
    <t>100105352KG</t>
  </si>
  <si>
    <t>636047343109</t>
  </si>
  <si>
    <t>Greenland Home Fashions Andorra Furniture Protector Ar Multi</t>
  </si>
  <si>
    <t>GL-1304AFPA</t>
  </si>
  <si>
    <t>42694347450</t>
  </si>
  <si>
    <t>CSOLD2X4IV</t>
  </si>
  <si>
    <t>86569306081</t>
  </si>
  <si>
    <t>Intelligent Design Annie Solid Clipped Jacquard R Grey 50x84</t>
  </si>
  <si>
    <t>ID40-1845</t>
  </si>
  <si>
    <t>POLYESTER CLIPPED JACQUARD SEERSUCKER FABRIC</t>
  </si>
  <si>
    <t>732998285526</t>
  </si>
  <si>
    <t>Charter Club Damask Pima Cotton 550-Thread Neo Natural Queen</t>
  </si>
  <si>
    <t>DNSLDQNBNAT</t>
  </si>
  <si>
    <t>636202045374</t>
  </si>
  <si>
    <t>Hotel Collection Hotel Collection Finest Elegan Flax Bath Towels</t>
  </si>
  <si>
    <t>HTLELITEBF</t>
  </si>
  <si>
    <t>LT/PAS BWN</t>
  </si>
  <si>
    <t>610406821064</t>
  </si>
  <si>
    <t>Homey Cozy Homey Cozy Floral Elegant Squa Coral 20x20</t>
  </si>
  <si>
    <t>71083-CORAL</t>
  </si>
  <si>
    <t>POLYESTER VELVET</t>
  </si>
  <si>
    <t>610406820838</t>
  </si>
  <si>
    <t>Homey Cozy Homey Cozy Curl Applique Embro Turquoise 20x20</t>
  </si>
  <si>
    <t>71163-TURQUOISE</t>
  </si>
  <si>
    <t>96675639768</t>
  </si>
  <si>
    <t>SensorGel Cool Fusion Standard Pillow wi White Standard</t>
  </si>
  <si>
    <t>91116725628</t>
  </si>
  <si>
    <t>Sanders Holiday Microfiber 5 Piece Que Christmas Truck Queen</t>
  </si>
  <si>
    <t>HDYSS4Q</t>
  </si>
  <si>
    <t>96675311015</t>
  </si>
  <si>
    <t>SensorGel Wellness Collection by Suppor White Standard</t>
  </si>
  <si>
    <t>COVER: 230 GSM POLYESTER, FILL: MEMORY FOAM CLUSTERS</t>
  </si>
  <si>
    <t>732996250069</t>
  </si>
  <si>
    <t>Charter Club Superluxe 300-Thread Count Med White Standard</t>
  </si>
  <si>
    <t>100069269SQ</t>
  </si>
  <si>
    <t>25521023970</t>
  </si>
  <si>
    <t>Pacific Coast Feather Feather Gusset Pillow Protecto White</t>
  </si>
  <si>
    <t>PACIFIC COAST FEATHER (711/427)</t>
  </si>
  <si>
    <t>732998408710</t>
  </si>
  <si>
    <t>Martha Stewart Collection Reversible Poppy Flora Yarn Dy Blue Standard Sham</t>
  </si>
  <si>
    <t>100082703ST</t>
  </si>
  <si>
    <t>732996250113</t>
  </si>
  <si>
    <t>Charter Club Superluxe 300-Thread Count Sof White Standard</t>
  </si>
  <si>
    <t>100069246SQ</t>
  </si>
  <si>
    <t>733001946823</t>
  </si>
  <si>
    <t>Charter Club Continuous Support Medium Firm White Standard</t>
  </si>
  <si>
    <t>100121784SQ</t>
  </si>
  <si>
    <t>21864336289</t>
  </si>
  <si>
    <t>Avanti Colony Palm Hand Towel Ivory</t>
  </si>
  <si>
    <t>036682IVR</t>
  </si>
  <si>
    <t>636202045411</t>
  </si>
  <si>
    <t>Hotel Collection Hotel Collection Finest Elegan Flax Hand Towels</t>
  </si>
  <si>
    <t>HTLELITEHF</t>
  </si>
  <si>
    <t>846339081033</t>
  </si>
  <si>
    <t>J Queen New York Giovani 4-Pc. Queen Comforter Spa Queen</t>
  </si>
  <si>
    <t>2246054QCS</t>
  </si>
  <si>
    <t>706257998274</t>
  </si>
  <si>
    <t>Hotel Collection Fresco Quilted King Coverlet Gold King</t>
  </si>
  <si>
    <t>FO23KC790</t>
  </si>
  <si>
    <t>840008367350</t>
  </si>
  <si>
    <t>Dr. Oz Good Life Dr. Oz Good Life Say Goodnight White Queen</t>
  </si>
  <si>
    <t>OZGL30QQ30BGT</t>
  </si>
  <si>
    <t>734737623231</t>
  </si>
  <si>
    <t>Sunham Je Taime 14-Pc. King Comforte Natural King</t>
  </si>
  <si>
    <t>734737623224</t>
  </si>
  <si>
    <t>Sunham JeTaime 14-Pc. Queen Comforte Natural Queen</t>
  </si>
  <si>
    <t>810006714579</t>
  </si>
  <si>
    <t>Enchante Home Enchante Home Luxury Cotton Do White FullQueen</t>
  </si>
  <si>
    <t>QUILT100CTTNQUEN</t>
  </si>
  <si>
    <t>TURKO TEXTILE LLC</t>
  </si>
  <si>
    <t>100% COTTON FABRIC AND FILL; 700 FILL POWER</t>
  </si>
  <si>
    <t>848742038086</t>
  </si>
  <si>
    <t>Lush Decor Leah King Quilt 3Pc Set Yellow King</t>
  </si>
  <si>
    <t>C38086P15-000</t>
  </si>
  <si>
    <t>732997706558</t>
  </si>
  <si>
    <t>Hotel Collection Classic Egyptian Cotton 400-Th Grey Queen</t>
  </si>
  <si>
    <t>100067147QN</t>
  </si>
  <si>
    <t>100% EGYPTIAN COTTON</t>
  </si>
  <si>
    <t>788904004446</t>
  </si>
  <si>
    <t>SL007532</t>
  </si>
  <si>
    <t>883893318083</t>
  </si>
  <si>
    <t>City Scene Triple Diamond FullQueen Comf White FullQueen</t>
  </si>
  <si>
    <t>733001448419</t>
  </si>
  <si>
    <t>Charter Club Damask Supima Cotton 550-Threa Horizon Sky Blue Split King</t>
  </si>
  <si>
    <t>DLLSLSKSHZN</t>
  </si>
  <si>
    <t>732997147146</t>
  </si>
  <si>
    <t>Charter Club Oak Leaf 3-Pc. King Comforter Green King</t>
  </si>
  <si>
    <t>100058465KG</t>
  </si>
  <si>
    <t>FABRIC: COTTON; COMFORTER FILL: POLYESTER</t>
  </si>
  <si>
    <t>788904119584</t>
  </si>
  <si>
    <t>Blue Ridge Home, 240 Thread Count Down Fe Taupe FullQueen</t>
  </si>
  <si>
    <t>86569085115</t>
  </si>
  <si>
    <t>Beautyrest Zuri Reversible Oversized 50 Snow Leopa</t>
  </si>
  <si>
    <t>BR54-0911</t>
  </si>
  <si>
    <t>86569326744</t>
  </si>
  <si>
    <t>Premier Comfort Premier Comfort Faux Fur Elect White</t>
  </si>
  <si>
    <t>MCC54-2145</t>
  </si>
  <si>
    <t>675716781934</t>
  </si>
  <si>
    <t>Beautyrest Senna Electric Throw Aqua Throw</t>
  </si>
  <si>
    <t>BR54-0667</t>
  </si>
  <si>
    <t>POLYESTER 200 GRAMS PER SQUARE METER</t>
  </si>
  <si>
    <t>842491129781</t>
  </si>
  <si>
    <t>Sweet Home Collection Sweet Home Collection Dobby Em Burgundy King</t>
  </si>
  <si>
    <t>8PC-DOBBY-K</t>
  </si>
  <si>
    <t>732998795612</t>
  </si>
  <si>
    <t>Martha Stewart Collection Percale Stripe Reversible Full Blue FullQueen</t>
  </si>
  <si>
    <t>100079381FQ</t>
  </si>
  <si>
    <t>FABRIC: COTTON; POLYESTER FILL 285 GRAMS PER SQUARE METER</t>
  </si>
  <si>
    <t>732999855193</t>
  </si>
  <si>
    <t>Charter Club Damask Designs Floral Blooms 3 Grey FullQueen</t>
  </si>
  <si>
    <t>100104275FQ</t>
  </si>
  <si>
    <t>657812139871</t>
  </si>
  <si>
    <t>Biddeford Microplush Reverse Sherpa Elec Taupe Twin</t>
  </si>
  <si>
    <t>2060-9052140-700</t>
  </si>
  <si>
    <t>840970158451</t>
  </si>
  <si>
    <t>Cathay Home Inc. Enzyme Washed Crinkle Quilt Se Mushroom FullQueen</t>
  </si>
  <si>
    <t>KKQLT3-001-FQ</t>
  </si>
  <si>
    <t>191790023550</t>
  </si>
  <si>
    <t>Fairfield Square Collection Fairfield Square Sydney 825-Th Charcoal King</t>
  </si>
  <si>
    <t>23202104386AQT</t>
  </si>
  <si>
    <t>21166134491</t>
  </si>
  <si>
    <t>Causual Living Casual Living Solid Color Tile Charcoal FullQueen</t>
  </si>
  <si>
    <t>628961002415</t>
  </si>
  <si>
    <t>Kensington Garden Dover King Cotton Rich Cool Co Green King</t>
  </si>
  <si>
    <t>JET9824</t>
  </si>
  <si>
    <t>29927433487</t>
  </si>
  <si>
    <t>Sun Zero Sun Zero Preston 100 x 84 Gr Red 100x84</t>
  </si>
  <si>
    <t>783048139948</t>
  </si>
  <si>
    <t>Charisma Charisma Luxe Faux Fur Throw Gray 70x50</t>
  </si>
  <si>
    <t>TH3905GY-9100</t>
  </si>
  <si>
    <t>645470132099</t>
  </si>
  <si>
    <t>Modern Threads 6-Pc. JacquardSolid Medallion Charcoal</t>
  </si>
  <si>
    <t>56JACQMS-PLT-ST</t>
  </si>
  <si>
    <t>AMRAPUR OVERSEAS INC</t>
  </si>
  <si>
    <t>733001083320</t>
  </si>
  <si>
    <t>Hotel Collection Contour European Sham, Created Brown</t>
  </si>
  <si>
    <t>100099569ER</t>
  </si>
  <si>
    <t>675716619381</t>
  </si>
  <si>
    <t>Madison Park Spa Cotton Reversible 27 x 45 Grey 27 x 45</t>
  </si>
  <si>
    <t>MP72-1543</t>
  </si>
  <si>
    <t>732995192407</t>
  </si>
  <si>
    <t>Charter Club Damask Solid Cotton 550-Thread Stone Dark Grey King Flat</t>
  </si>
  <si>
    <t>100056022KG</t>
  </si>
  <si>
    <t>784851508662</t>
  </si>
  <si>
    <t>Elegant Comfort Elegant Comfort Super Silky So Orange TwinTwin XL</t>
  </si>
  <si>
    <t>FLEECETWINORANGE</t>
  </si>
  <si>
    <t>194938000239</t>
  </si>
  <si>
    <t>Lush Decor Lush Decor Bria Stripe Decorat Gray 20 x 13</t>
  </si>
  <si>
    <t>16T005635</t>
  </si>
  <si>
    <t>675716616113</t>
  </si>
  <si>
    <t>Madison Park Serene 50 x 84 Colorblocked Red 50x84</t>
  </si>
  <si>
    <t>MP40-1531</t>
  </si>
  <si>
    <t>732995797480</t>
  </si>
  <si>
    <t>Martha Stewart Collection Essentials Jersey 4-Pc. Full S Heathered Aqua Full</t>
  </si>
  <si>
    <t>10015002FL</t>
  </si>
  <si>
    <t>MS ESSENTIALS-EDI/RWI/YUNU-SHEETS</t>
  </si>
  <si>
    <t>96675700970</t>
  </si>
  <si>
    <t>SensorPEDIC Relax - Lavender Infused Memor White Standard</t>
  </si>
  <si>
    <t>679610755480</t>
  </si>
  <si>
    <t>Hallmart Collectibles Amanda 3-Pc. Reversible FullQ Multi Twin</t>
  </si>
  <si>
    <t>89786467672</t>
  </si>
  <si>
    <t>Creative Bath Hautman Brothers White Birch B White 21 x 34</t>
  </si>
  <si>
    <t>R1256WH</t>
  </si>
  <si>
    <t>CREATIVE BATH PRODUCTS</t>
  </si>
  <si>
    <t>675716609023</t>
  </si>
  <si>
    <t>Madison Park Spa Cotton Reversible 20 x 30 Grey 20 x 30</t>
  </si>
  <si>
    <t>MP72-1487</t>
  </si>
  <si>
    <t>29927562163</t>
  </si>
  <si>
    <t>Sun Zero Cyrus 40 x 84 Thermal Blacko White 40x84</t>
  </si>
  <si>
    <t>36326581039</t>
  </si>
  <si>
    <t>Saturday Knight Saturday Knight Kali Panel, 40 Dove Gray 84 inches</t>
  </si>
  <si>
    <t>10482318708</t>
  </si>
  <si>
    <t>Todays Home Cotton Rich Tailored Queen Bed Ivory Queen</t>
  </si>
  <si>
    <t>TOH24914IVOR03</t>
  </si>
  <si>
    <t>DROP: COTTON / POLYESTER; PLATFORM: POLYPROPYLENE</t>
  </si>
  <si>
    <t>36326580872</t>
  </si>
  <si>
    <t>Saturday Knight Saturday Knight Raine Panel, 4 Dove Gray 63</t>
  </si>
  <si>
    <t>63 SGL</t>
  </si>
  <si>
    <t>726895453362</t>
  </si>
  <si>
    <t>Martha Stewart Collection Essentials Solid Microfiber 3- Green Mist Green Twin XL</t>
  </si>
  <si>
    <t>10014996TX</t>
  </si>
  <si>
    <t>32281164751</t>
  </si>
  <si>
    <t>Disney Spiderman Nogginz Travel Set Marvel Spiderman</t>
  </si>
  <si>
    <t>JF16475</t>
  </si>
  <si>
    <t>732994072632</t>
  </si>
  <si>
    <t>Martha Stewart Collection Feels Like Down King Soft Pill White King</t>
  </si>
  <si>
    <t>10029644KG</t>
  </si>
  <si>
    <t>MARTHA STEWART-EDI/DOWNLITE</t>
  </si>
  <si>
    <t>651896635755</t>
  </si>
  <si>
    <t>Morgan Home 2 Pk. Velvet Plush Pillows Green 18x18</t>
  </si>
  <si>
    <t>M635755</t>
  </si>
  <si>
    <t>25521184664</t>
  </si>
  <si>
    <t>Martha Stewart Collection Wont Go Flat Core Firm King P White King</t>
  </si>
  <si>
    <t>18466FN</t>
  </si>
  <si>
    <t>32281685546</t>
  </si>
  <si>
    <t>Disney Frozen Elsa Hooded Towel Disney Frozen Elsa</t>
  </si>
  <si>
    <t>JF68554</t>
  </si>
  <si>
    <t>21864289097</t>
  </si>
  <si>
    <t>Avanti Gilded Birds 16 x 30 Hand To</t>
  </si>
  <si>
    <t>COTTON; EXCLUSIVE OF EMBELLISHMENT</t>
  </si>
  <si>
    <t>732994072649</t>
  </si>
  <si>
    <t>Martha Stewart Collection Feels Like Down StandardQueen White Standard</t>
  </si>
  <si>
    <t>10029644QN</t>
  </si>
  <si>
    <t>726895579420</t>
  </si>
  <si>
    <t>Martha Stewart Collection Solid Open Stock 400-Thread Co Storm Cloud Dark Grey King</t>
  </si>
  <si>
    <t>86569287540</t>
  </si>
  <si>
    <t>Urban Dreams HOODED THROWS Green Standard</t>
  </si>
  <si>
    <t>MCH50-1613</t>
  </si>
  <si>
    <t>706255871692</t>
  </si>
  <si>
    <t>Martha Stewart Collection Quick Dry Reversible Bath Towe Pink Hibiscus Bath Towels</t>
  </si>
  <si>
    <t>MSQDRBPH</t>
  </si>
  <si>
    <t>608356694500</t>
  </si>
  <si>
    <t>Charter Club Elite Hygro Cotton Hand Towel Red Curran Hand Towels</t>
  </si>
  <si>
    <t>CCELITEH</t>
  </si>
  <si>
    <t>732996805849</t>
  </si>
  <si>
    <t>Martha Stewart Collection Snow Tree Cotton 2-Pc. Fingert Red Combo Towel Sets</t>
  </si>
  <si>
    <t>COTTON/VISCOSE</t>
  </si>
  <si>
    <t>8050844456442</t>
  </si>
  <si>
    <t>SIMPLY QSS</t>
  </si>
  <si>
    <t>3FR6660E2437240IB101</t>
  </si>
  <si>
    <t>FRETTE INC</t>
  </si>
  <si>
    <t>100% COTTON SATEEN</t>
  </si>
  <si>
    <t>726895696295</t>
  </si>
  <si>
    <t>Hotel Collection Linen King Duvet Cover Grey King</t>
  </si>
  <si>
    <t>100024678KG</t>
  </si>
  <si>
    <t>732995181869</t>
  </si>
  <si>
    <t>500TC GEO K DVT WHT BASIC</t>
  </si>
  <si>
    <t>100050124KG</t>
  </si>
  <si>
    <t>100% PIMA COTTON SATEEN</t>
  </si>
  <si>
    <t>86569375827</t>
  </si>
  <si>
    <t>CosmoLiving CosmoLiving Anaya Printed King Black, White King</t>
  </si>
  <si>
    <t>CL12-0004</t>
  </si>
  <si>
    <t>COSMOLIVING/E &amp; E CO LTD/JLA HOME</t>
  </si>
  <si>
    <t>30955228747</t>
  </si>
  <si>
    <t>Christopher Knight Christopher Knight Pebbletex O White Queen</t>
  </si>
  <si>
    <t>MPOSP7680-CK</t>
  </si>
  <si>
    <t>DREAMTEX HOME LLC</t>
  </si>
  <si>
    <t>100% ORGANIC COTTON</t>
  </si>
  <si>
    <t>657812169847</t>
  </si>
  <si>
    <t>Biddeford Comfort Knit Fleece Electric K Fawn King</t>
  </si>
  <si>
    <t>1004-9052277706</t>
  </si>
  <si>
    <t>733001891819</t>
  </si>
  <si>
    <t>Martha Stewart Collection Floral Embroidered Geo King Qu White KingCalifornia King</t>
  </si>
  <si>
    <t>100115800KG</t>
  </si>
  <si>
    <t>883893510159</t>
  </si>
  <si>
    <t>City Scene Ziggy FullQueen Comforter Set White FullQueen</t>
  </si>
  <si>
    <t>COTTON, POLYESTER FILL</t>
  </si>
  <si>
    <t>733001041535</t>
  </si>
  <si>
    <t>ELIZA FQ DVT</t>
  </si>
  <si>
    <t>100095287FQ</t>
  </si>
  <si>
    <t>706258089414</t>
  </si>
  <si>
    <t>Charter Club Damask Supima Cotton 550-Threa Sunglow Dark Khaki California King</t>
  </si>
  <si>
    <t>DLLSLCDSSUN</t>
  </si>
  <si>
    <t>732994628921</t>
  </si>
  <si>
    <t>Charter Club Cotton 700-Thread Count 4-Pc. Overcast Grey Queen</t>
  </si>
  <si>
    <t>100029145QN</t>
  </si>
  <si>
    <t>CHARTER CLUB-EDI/BIRLA CENTURY</t>
  </si>
  <si>
    <t>706258090205</t>
  </si>
  <si>
    <t>Charter Club Damask Supima Cotton 550-Threa White Queen</t>
  </si>
  <si>
    <t>DLLSLQNSWHT</t>
  </si>
  <si>
    <t>22415000680</t>
  </si>
  <si>
    <t>Sealy Sealy 48 x 72 Weighted Blank Ivory 48X72</t>
  </si>
  <si>
    <t>732996988207</t>
  </si>
  <si>
    <t>Martha Stewart Collection Chateau Twin Quilt Grey TwinTwin XL</t>
  </si>
  <si>
    <t>100017563TW</t>
  </si>
  <si>
    <t>191790037649</t>
  </si>
  <si>
    <t>AQ Textiles Ultra Lux T800 Cotton 4 piece Ivory King</t>
  </si>
  <si>
    <t>24942104003AQT</t>
  </si>
  <si>
    <t>733001281740</t>
  </si>
  <si>
    <t>Martha Stewart Collection Textured Faux Fur Throw Grey 60 X 50</t>
  </si>
  <si>
    <t>732995560824</t>
  </si>
  <si>
    <t>Charter Club Damask Designs Watercolor Leaf Grey Twin</t>
  </si>
  <si>
    <t>100037348TW</t>
  </si>
  <si>
    <t>706257404546</t>
  </si>
  <si>
    <t>Hotel Collection Cotton 680 Thread Count King F Ivory King</t>
  </si>
  <si>
    <t>68I21KGFL</t>
  </si>
  <si>
    <t>191790023437</t>
  </si>
  <si>
    <t>Fairfield Square Collection Fairfield Square Sydney 825-Th Grey Queen</t>
  </si>
  <si>
    <t>23202103082AQT</t>
  </si>
  <si>
    <t>840073622057</t>
  </si>
  <si>
    <t>CLARA CLARK CLARA CLARK Premier 1800 Serie Sage King Split</t>
  </si>
  <si>
    <t>840970149565</t>
  </si>
  <si>
    <t>Cathay Home Inc. Ultimate Luxury Reversible Mic Burgundy Twin</t>
  </si>
  <si>
    <t>108267-BUR-T</t>
  </si>
  <si>
    <t>FAUX SHERPA</t>
  </si>
  <si>
    <t>635983499499</t>
  </si>
  <si>
    <t>BMI10321LK</t>
  </si>
  <si>
    <t>86569258601</t>
  </si>
  <si>
    <t>SunSmart Taylor 50 x 84 Diamond Jacqu Blue 50x84</t>
  </si>
  <si>
    <t>SS40-0123</t>
  </si>
  <si>
    <t>29927578300</t>
  </si>
  <si>
    <t>Sun Zero Oslo 52 x 120 Theater Grade Pearl 52x120</t>
  </si>
  <si>
    <t>807709829785</t>
  </si>
  <si>
    <t>Spa 251 Ombre Waffle Striped Shower Cu Spa 70X72</t>
  </si>
  <si>
    <t>OMWSCSPA</t>
  </si>
  <si>
    <t>26865854008</t>
  </si>
  <si>
    <t>Elrene Elrene All Seasons Faux Silk 5 Silver 52x84</t>
  </si>
  <si>
    <t>610406821026</t>
  </si>
  <si>
    <t>Homey Cozy Homey Cozy Jessie Ikat Embroid Coral 20x20</t>
  </si>
  <si>
    <t>71109-CORAL</t>
  </si>
  <si>
    <t>190714335601</t>
  </si>
  <si>
    <t>Lacourte Afton 20 x 20 Decorative Pil Blue 20x20</t>
  </si>
  <si>
    <t>1125439BLU20X20</t>
  </si>
  <si>
    <t>29927562552</t>
  </si>
  <si>
    <t>Sun Zero Evelina Faux Silk 50 x 84 Th Stone 50x84</t>
  </si>
  <si>
    <t>86569363428</t>
  </si>
  <si>
    <t>Martha Stewart Collection Martha Stewart Essentials Reve White TwinTwin XL</t>
  </si>
  <si>
    <t>10012459TW</t>
  </si>
  <si>
    <t>810022470534</t>
  </si>
  <si>
    <t>Arista Bath Products Leonard 18 Towel Bar SN Satin Nickel ONE SIZE</t>
  </si>
  <si>
    <t>BA1702 18TBR SN</t>
  </si>
  <si>
    <t>810022471609</t>
  </si>
  <si>
    <t>Arista Bath Products Belding 24 Towel Bar SN Satin Nickel ONE SIZE</t>
  </si>
  <si>
    <t>BA5702 24TBR SN</t>
  </si>
  <si>
    <t>732998368618</t>
  </si>
  <si>
    <t>Martha Stewart Collection Sherpa Throw Purple Throw</t>
  </si>
  <si>
    <t>29927535808</t>
  </si>
  <si>
    <t>No. 918 No. 918 51 x 95 Crushed Shee Eggshell 51x95</t>
  </si>
  <si>
    <t>732996250038</t>
  </si>
  <si>
    <t>Charter Club Superluxe 300-Thread Count Fir White Standard</t>
  </si>
  <si>
    <t>100069290SQ</t>
  </si>
  <si>
    <t>36326426194</t>
  </si>
  <si>
    <t>Saturday Knight Petite Fleur 56 x 84 Panel Bone 56x84</t>
  </si>
  <si>
    <t>29927534566</t>
  </si>
  <si>
    <t>Sun Zero Sun Zero Preston 40 x 84 Gro Grey 40x84</t>
  </si>
  <si>
    <t>29927524420</t>
  </si>
  <si>
    <t>No. 918 No. 918 Sheer Voile 59 x 84 Eggshell 59x84</t>
  </si>
  <si>
    <t>706254463034</t>
  </si>
  <si>
    <t>Hotel Collection Ultimate MicroCotton 30 x 5 Dune Bath Towels</t>
  </si>
  <si>
    <t>HTLMCBDNE</t>
  </si>
  <si>
    <t>850001843287</t>
  </si>
  <si>
    <t>BedVoyage Viscose from Bamboo Baby Washc WhiteBlack</t>
  </si>
  <si>
    <t>BAMBOO FROM RAYON/COTTON</t>
  </si>
  <si>
    <t>29927256093</t>
  </si>
  <si>
    <t>No. 918 No. 918 Sheer Voile 59 x 40 Eggshell 59 x 40</t>
  </si>
  <si>
    <t>735732247361</t>
  </si>
  <si>
    <t>Victoria Classics Fireside Sherpa Throw Navy 50x60</t>
  </si>
  <si>
    <t>SP4-THR-5060-MC-NAVY</t>
  </si>
  <si>
    <t>191790043879</t>
  </si>
  <si>
    <t>WHT T800 COT QN</t>
  </si>
  <si>
    <t>25892103001AQT</t>
  </si>
  <si>
    <t>813538024208</t>
  </si>
  <si>
    <t>1P SOL BDSK QU WH</t>
  </si>
  <si>
    <t>BDSKSLDQIENJ</t>
  </si>
  <si>
    <t>Popular Bath Cambridge 17 x 24 Bath Rug Teal No Size</t>
  </si>
  <si>
    <t>POPULAR BATH PRODUCTS</t>
  </si>
  <si>
    <t>819352029429</t>
  </si>
  <si>
    <t>Elegant Comfort Elegant Comfort Silky Soft Sin Turquoisea Queen</t>
  </si>
  <si>
    <t>Q-FITTED-TURQUOI</t>
  </si>
  <si>
    <t>732995120394</t>
  </si>
  <si>
    <t>Martha Stewart Collection Solid Open Stock 400-Thread Co Peach Full Fitted</t>
  </si>
  <si>
    <t>10021050FL</t>
  </si>
  <si>
    <t>732997005231</t>
  </si>
  <si>
    <t>Martha Stewart Collection Essentials Solid Microfiber 4- Bright White Full</t>
  </si>
  <si>
    <t>10014996FL</t>
  </si>
  <si>
    <t>MARTHA S-EDI/RWI/PEM-SHEETS</t>
  </si>
  <si>
    <t>709271377568</t>
  </si>
  <si>
    <t>Calvin Klein Modern Cotton Body Pair of Sta White Standard Pillowcases</t>
  </si>
  <si>
    <t>111BODY-ST-W1-D6</t>
  </si>
  <si>
    <t>170 GRAMS PER SQUARE METER COTTON/MODAL</t>
  </si>
  <si>
    <t>784857883367</t>
  </si>
  <si>
    <t>Idea Nuova Coleman Cotton 2-Pc. Hotel Bor Gray No Size</t>
  </si>
  <si>
    <t>K698233</t>
  </si>
  <si>
    <t>29927519310</t>
  </si>
  <si>
    <t>Sun Zero Sun Zero Preston 40 x 84 Tab Grey 40x84</t>
  </si>
  <si>
    <t>29927570151</t>
  </si>
  <si>
    <t>No. 918 Blair Farmhouse Plaid 52 x 24 Coal 52x24</t>
  </si>
  <si>
    <t>726895578454</t>
  </si>
  <si>
    <t>Martha Stewart Collection Solid Open Stock 400-Thread Co Cloud White Twin XL</t>
  </si>
  <si>
    <t>10021050TX</t>
  </si>
  <si>
    <t>29927507126</t>
  </si>
  <si>
    <t>Sun Zero Cooper 40 x 84 Thermal Insul Linen 40x84</t>
  </si>
  <si>
    <t>680656160480</t>
  </si>
  <si>
    <t>Decopolitan Montevilla 12-Inch Ball Teles Brown</t>
  </si>
  <si>
    <t>30072-26DB</t>
  </si>
  <si>
    <t>706257208939</t>
  </si>
  <si>
    <t>Charter Club Damask Designs European Sham Butter European Sham</t>
  </si>
  <si>
    <t>DEUSGRDBT</t>
  </si>
  <si>
    <t>706258050940</t>
  </si>
  <si>
    <t>Charter Club Damask Stripe Pima Cotton 550- Smoke Grey Standard Sham</t>
  </si>
  <si>
    <t>DLLSTSTHSMO</t>
  </si>
  <si>
    <t>29927366266</t>
  </si>
  <si>
    <t>No. 918 No. 918 Sheer Voile 59 x 84 Charcoal 59x84</t>
  </si>
  <si>
    <t>732997431504</t>
  </si>
  <si>
    <t>Home Design StandardQueen 2-Pc. Satin Pil White Standard</t>
  </si>
  <si>
    <t>100081741SQ</t>
  </si>
  <si>
    <t>HOME DESIGN-EDI/JLA HOME</t>
  </si>
  <si>
    <t>706254463331</t>
  </si>
  <si>
    <t>Hotel Collection Ultimate MicroCotton 16 x 30 Midnight Hand Towels</t>
  </si>
  <si>
    <t>HTLMCHMDN</t>
  </si>
  <si>
    <t>726895082234</t>
  </si>
  <si>
    <t>Hotel Collection Supima Cotton Quick-Dry Wash Claret</t>
  </si>
  <si>
    <t>83013162774</t>
  </si>
  <si>
    <t>Croscill Gabrijel Queen Comforter Set Slate Blue Queen</t>
  </si>
  <si>
    <t>2A0-003O0-1459</t>
  </si>
  <si>
    <t>193842111246</t>
  </si>
  <si>
    <t>J Queen New York J Queen New York Patricia Quee Spa Queen</t>
  </si>
  <si>
    <t>2593054QCS</t>
  </si>
  <si>
    <t>86569967930</t>
  </si>
  <si>
    <t>Madison Park Essentials Delaney 24-Pc. King Room In A Red King</t>
  </si>
  <si>
    <t>MPE10-708</t>
  </si>
  <si>
    <t>FABRIC: POLYESTER; COMFORTER/PILLOW FILL: POLYESTER</t>
  </si>
  <si>
    <t>706257997871</t>
  </si>
  <si>
    <t>Hotel Collection Greek Key King Comforter Black King</t>
  </si>
  <si>
    <t>GK02KC790</t>
  </si>
  <si>
    <t>732999290314</t>
  </si>
  <si>
    <t>Hotel Collection Hotel Collection Bedford Geo K Wheat King</t>
  </si>
  <si>
    <t>100099754KG</t>
  </si>
  <si>
    <t>735837083062</t>
  </si>
  <si>
    <t>Hotel Collection Hotel Collection Luxury Down A White King</t>
  </si>
  <si>
    <t>HDAK903</t>
  </si>
  <si>
    <t>788904002497</t>
  </si>
  <si>
    <t>Blue Ridge Blue Ridge 1000TC 100 Pima Co Grey FullQueen</t>
  </si>
  <si>
    <t>100% COTTON; POLYESTER FILL</t>
  </si>
  <si>
    <t>840008312411</t>
  </si>
  <si>
    <t>Lucid 3 Gel Foam Mattress Topper, Q Blue Queen</t>
  </si>
  <si>
    <t>DC30QQ30GT</t>
  </si>
  <si>
    <t>MEMORY FOAM</t>
  </si>
  <si>
    <t>766195503770</t>
  </si>
  <si>
    <t>Tommy Hilfiger Ashcolt 2-Pc. Stripe Twin Comf Navy Twin</t>
  </si>
  <si>
    <t>17T1124-TW-N1-O1</t>
  </si>
  <si>
    <t>732999612871</t>
  </si>
  <si>
    <t>Lucky Brand Baja Stripe Quilted Cotton 230 Ivory King</t>
  </si>
  <si>
    <t>100078879KG</t>
  </si>
  <si>
    <t>706258049371</t>
  </si>
  <si>
    <t>Charter Club Damask Supima Cotton 550-Threa Stone Dark Grey California King</t>
  </si>
  <si>
    <t>DLLSLCKSSTN</t>
  </si>
  <si>
    <t>883893631601</t>
  </si>
  <si>
    <t>Novogratz Collection Demi Dot King Sheet Set Navy King</t>
  </si>
  <si>
    <t>USHSA01123530</t>
  </si>
  <si>
    <t>689439136551</t>
  </si>
  <si>
    <t>Hotel Collection Lateral 400-Thread Count 18 S Natural 18x18</t>
  </si>
  <si>
    <t>635983500843</t>
  </si>
  <si>
    <t>Ella Jayne Plush Allergy Resistant Medium White Queen</t>
  </si>
  <si>
    <t>BMI10656L4Q</t>
  </si>
  <si>
    <t>SHELL: 220 THREAD COUNT POLYESTER MICROFIBER, FILL: 100% POLY FIBER DOWN ALTERNATIVE FIBER</t>
  </si>
  <si>
    <t>754069200160</t>
  </si>
  <si>
    <t>American Heritage Textiles Red Forest Quilt Collection, Q Multi FullQueen</t>
  </si>
  <si>
    <t>Y20016</t>
  </si>
  <si>
    <t>86569343505</t>
  </si>
  <si>
    <t>Urban Dreams Astro 7PC Comforter ensemble Multi Full</t>
  </si>
  <si>
    <t>MCH10-1683</t>
  </si>
  <si>
    <t>733001273738</t>
  </si>
  <si>
    <t>AMELIE FL SS</t>
  </si>
  <si>
    <t>100099115FL</t>
  </si>
  <si>
    <t>706258364955</t>
  </si>
  <si>
    <t>Charter Club Damask Designs Navy 2-Pc. Twin Navy Twin</t>
  </si>
  <si>
    <t>DCTWDSKNVY</t>
  </si>
  <si>
    <t>732998523925</t>
  </si>
  <si>
    <t>Martha Stewart Collection Flamingo Lagoon 2-Pc. TwinTwi Pink TwinTwin XL</t>
  </si>
  <si>
    <t>100077563TW</t>
  </si>
  <si>
    <t>FABRIC: 100% COTTON 250 GRAMS PER SQUARE METER; THREAD COUNT: 250, REVERSES TO 144</t>
  </si>
  <si>
    <t>734737637405</t>
  </si>
  <si>
    <t>Fairfield Square Collection Aspen T1000 CVC King sheet set Grey King</t>
  </si>
  <si>
    <t>735837086346</t>
  </si>
  <si>
    <t>Hotel Collection Step Up Down-Alternative Firm- White King</t>
  </si>
  <si>
    <t>HDAFK907</t>
  </si>
  <si>
    <t>SHELL: 100% COTTON WOVEN JACQUARD/POLYESTER; FILL: DOWN-ALTERNATIVE FIBER</t>
  </si>
  <si>
    <t>191790041158</t>
  </si>
  <si>
    <t>AQ Textiles Camden Sateen 1250-Thread Coun Navy King</t>
  </si>
  <si>
    <t>25542104101AQT</t>
  </si>
  <si>
    <t>734737619555</t>
  </si>
  <si>
    <t>Fairfield Square Collection Odyssey Reversible 8-Pc. Comfo Wine King</t>
  </si>
  <si>
    <t>BRIGHT RED</t>
  </si>
  <si>
    <t>734737485662</t>
  </si>
  <si>
    <t>Fairfield Square Collection Austin 8-Pc. Reversible Comfor Blue King</t>
  </si>
  <si>
    <t>1575C329V</t>
  </si>
  <si>
    <t>783048143976</t>
  </si>
  <si>
    <t>Cannon Heritage Solid Split King 7 Pi Navy Split King</t>
  </si>
  <si>
    <t>SS3941DBSK-4200</t>
  </si>
  <si>
    <t>734737635852</t>
  </si>
  <si>
    <t>Fairfield Square Collection PLM BRZ MLTI QN CS Multi Queen</t>
  </si>
  <si>
    <t>734737635791</t>
  </si>
  <si>
    <t>Fairfield Square Collection P RICO multi qn cs Indigo Queen</t>
  </si>
  <si>
    <t>783048038395</t>
  </si>
  <si>
    <t>Christian Siriano New York 60 x 70 Snow Leopard Luxury Beige And White 60x70</t>
  </si>
  <si>
    <t>TH2209NE-9100</t>
  </si>
  <si>
    <t>FAUX-FUR FABRIC: POLYESTER; POLYESTER FILL</t>
  </si>
  <si>
    <t>783048128171</t>
  </si>
  <si>
    <t>Pem America Modern Stripe 8-Pc. Full Comfo Multi Full</t>
  </si>
  <si>
    <t>BIB3607FU-3240</t>
  </si>
  <si>
    <t>846339030154</t>
  </si>
  <si>
    <t>J Queen New York J Queen New York Marquis Europ Cream</t>
  </si>
  <si>
    <t>1519002EURO</t>
  </si>
  <si>
    <t>29927565959</t>
  </si>
  <si>
    <t>Sun Zero Amherst Velvet 50 x 84 Therm Grey 50x84</t>
  </si>
  <si>
    <t>191790041035</t>
  </si>
  <si>
    <t>AQ Textiles Camden 1250 thread count 4 pc Blush Queen</t>
  </si>
  <si>
    <t>25542103139AQT</t>
  </si>
  <si>
    <t>96675639621</t>
  </si>
  <si>
    <t>SensorGel CoolFusion Firm King Pillow White King</t>
  </si>
  <si>
    <t>COVER: 300 THREAD COUNT COTTON; FILL: POLYESTER/GEL BEADS</t>
  </si>
  <si>
    <t>675716721329</t>
  </si>
  <si>
    <t>JLA Home Intelligent Design 3-Pc. Jerse Pink Twin</t>
  </si>
  <si>
    <t>ID20-707</t>
  </si>
  <si>
    <t>POLYESTER/COTTON</t>
  </si>
  <si>
    <t>675716624996</t>
  </si>
  <si>
    <t>Madison Park Saratoga 50 x 95 Fretwork-Pr Yellow 50x95</t>
  </si>
  <si>
    <t>MP40-1576</t>
  </si>
  <si>
    <t>POLYESTER/RAYON/COTTON</t>
  </si>
  <si>
    <t>842941140649</t>
  </si>
  <si>
    <t>Tribeca Living Tribeca Living Super Soft Soli Deep Red Queen</t>
  </si>
  <si>
    <t>MF110DPSSQUDR</t>
  </si>
  <si>
    <t>TRIBECA LIVING/MARWAH CORPORATION</t>
  </si>
  <si>
    <t>807709002416</t>
  </si>
  <si>
    <t>Dainty Home Dainty Home Hotel Spa Luxury C Turquoise 70X72</t>
  </si>
  <si>
    <t>HCOWSCBL</t>
  </si>
  <si>
    <t>845951071095</t>
  </si>
  <si>
    <t>RT Designers Collection Durant Floral Embroidered 54 Terracotta 54x84</t>
  </si>
  <si>
    <t>PND23693</t>
  </si>
  <si>
    <t>732999603589</t>
  </si>
  <si>
    <t>Martha Stewart Collection Reversible Plaid FullQueen Co Red Plaid FullQueen</t>
  </si>
  <si>
    <t>100109403FQ</t>
  </si>
  <si>
    <t>29927530896</t>
  </si>
  <si>
    <t>Sun Zero Sun Zero Valencia 54 x 108 C Gray 54x108</t>
  </si>
  <si>
    <t>735732187926</t>
  </si>
  <si>
    <t>VCNY Home Amadora Quatrefoil 24 x 60 M Navy ONE SIZE</t>
  </si>
  <si>
    <t>AM4-RUN-2460-GP-NAVY</t>
  </si>
  <si>
    <t>91116718941</t>
  </si>
  <si>
    <t>Sanders Printed Microfiber Full Sheet Paris Full</t>
  </si>
  <si>
    <t>PM3SSF</t>
  </si>
  <si>
    <t>814945024447</t>
  </si>
  <si>
    <t>De Moocci Wrap Around Bed Skirt, Elastic White</t>
  </si>
  <si>
    <t>1606BS-WHT-QK</t>
  </si>
  <si>
    <t>732998000211</t>
  </si>
  <si>
    <t>Charter Club Euro Down Alternative 300-Thre White European</t>
  </si>
  <si>
    <t>100085913ER</t>
  </si>
  <si>
    <t>788904127817</t>
  </si>
  <si>
    <t>Blue Ridge Reversible Micromink to Faux-S Pink Throw</t>
  </si>
  <si>
    <t>EL418241</t>
  </si>
  <si>
    <t>814760024912</t>
  </si>
  <si>
    <t>ienjoy Home Home Collection Premium Ultra White Standard</t>
  </si>
  <si>
    <t>766360449544</t>
  </si>
  <si>
    <t>Hotel Collection Turkish 16 x 30 Hand Towel White Hand Towels</t>
  </si>
  <si>
    <t>HTLTURHWHT</t>
  </si>
  <si>
    <t>706258616344</t>
  </si>
  <si>
    <t>Martha Stewart Collection Essentials 2-Pack StandardQue White StandardQueen</t>
  </si>
  <si>
    <t>100058083QN</t>
  </si>
  <si>
    <t>250 THREAD COUNT 100% COTTON, KNIFE EDGE, EXCLUSIVE OF DECORATION</t>
  </si>
  <si>
    <t>885308517999</t>
  </si>
  <si>
    <t>Pairs To Go Cadenza Microfiber Panel Pair Navy 40x54</t>
  </si>
  <si>
    <t>15110080X054NVY</t>
  </si>
  <si>
    <t>54 DBL</t>
  </si>
  <si>
    <t>86569155450</t>
  </si>
  <si>
    <t>Madison Park Madison Park Essentials Satin Gold Standard</t>
  </si>
  <si>
    <t>MPE21-778</t>
  </si>
  <si>
    <t>100% POLYESTER SATIN</t>
  </si>
  <si>
    <t>760028583182</t>
  </si>
  <si>
    <t>Iso-Pedic Luxury Knit Charcoal Infused P Whitesilver</t>
  </si>
  <si>
    <t>10ISOCHARK-10J</t>
  </si>
  <si>
    <t>VALA20X146</t>
  </si>
  <si>
    <t>706254463287</t>
  </si>
  <si>
    <t>Hotel Collection Ultimate MicroCotton 16 x 30 Oat Hand Towels</t>
  </si>
  <si>
    <t>HTLMCHOAT</t>
  </si>
  <si>
    <t>54206583201</t>
  </si>
  <si>
    <t>Martha Stewart Collection Radiant Day 14-Pc. Queen Comfo Grey Queen</t>
  </si>
  <si>
    <t>14RDNTSLQN</t>
  </si>
  <si>
    <t>FABRIC: COTTON/POLYESTER; THREAD COUNT: 220; POLYESTER FILL (COMFORTER)</t>
  </si>
  <si>
    <t>86569115188</t>
  </si>
  <si>
    <t>Natori N Natori Sakura Blossom FullQ Lilac FullQueen</t>
  </si>
  <si>
    <t>NS12-3257</t>
  </si>
  <si>
    <t>COTTON SATEEN</t>
  </si>
  <si>
    <t>86569014870</t>
  </si>
  <si>
    <t>Madison Park Lola Cotton 7-Pc. Queen Comfor GreyBlush Queen</t>
  </si>
  <si>
    <t>MP10-5670</t>
  </si>
  <si>
    <t>COMFORTER/SHAM: COTTON, REVERSES TO COTTON/POLYESTER; THREAD COUNT: 200, REVERSES TO 180; BEDSKIRT: COTTON POLYESTER (DROP)/POLYESTER (PLATFORM); PILLOW: COTTON/POLYESTER; FILL: POLYESTER</t>
  </si>
  <si>
    <t>732998964346</t>
  </si>
  <si>
    <t>Hotel Collection Hotel Collection Olympia Full White FullQueen</t>
  </si>
  <si>
    <t>100078201FQ</t>
  </si>
  <si>
    <t>732994723695</t>
  </si>
  <si>
    <t>Charter Club Damask Designs Seersucker 150- White Grey FullQueen</t>
  </si>
  <si>
    <t>100023822FQ</t>
  </si>
  <si>
    <t>FABRIC: COTTON; THREAD COUNT: 150; POLYESTER FILL (COMFORTER)</t>
  </si>
  <si>
    <t>800298615401</t>
  </si>
  <si>
    <t>DKNY DKNY Modern Velvet 50 x 84 C Silver 50x84</t>
  </si>
  <si>
    <t>WED111597L0G</t>
  </si>
  <si>
    <t>657812132391</t>
  </si>
  <si>
    <t>Biddeford Biddeford Queen Electric Elect Taupe Queen</t>
  </si>
  <si>
    <t>2033-905191-700</t>
  </si>
  <si>
    <t>732997124000</t>
  </si>
  <si>
    <t>Lucky Brand Diamond Tuft Queen Bed Cover Blue Queen</t>
  </si>
  <si>
    <t>10129903BQN</t>
  </si>
  <si>
    <t>86569349279</t>
  </si>
  <si>
    <t>Addison Park Brystol blue Queen 9pc Comfort Blue Brown Queen</t>
  </si>
  <si>
    <t>MCH10-1705</t>
  </si>
  <si>
    <t>675716660642</t>
  </si>
  <si>
    <t>JLA Home Madison Park Pure Ronan FullQ Blue FullQueen</t>
  </si>
  <si>
    <t>MPP12-019</t>
  </si>
  <si>
    <t>DUVET/SHAM/DECORATIVE PILLOW - 100% COTTON PERCALE, PRINTED DECORATIVE PILLOW - 100% POLYESTER</t>
  </si>
  <si>
    <t>734737637306</t>
  </si>
  <si>
    <t>Sunham June Charcoal FullQueen CS Charcoal Queen</t>
  </si>
  <si>
    <t>679610813579</t>
  </si>
  <si>
    <t>Hallmart Collectibles Lillith 8-Pc. Queen Comforter Lt Pink Queen</t>
  </si>
  <si>
    <t>FABRIC: POLYESTER (EXCLUSIVE OF DECORATION); POLYESTER FILL</t>
  </si>
  <si>
    <t>732995473674</t>
  </si>
  <si>
    <t>Charter Club Damask Designs Watercolor Leaf Yellow King</t>
  </si>
  <si>
    <t>100037348KG</t>
  </si>
  <si>
    <t>FABRIC: COTTON; THREAD COUNT: 300; POLYESTER FILL</t>
  </si>
  <si>
    <t>732998488668</t>
  </si>
  <si>
    <t>Hotel Collection Finest Modal Bath Robe Navy LXL</t>
  </si>
  <si>
    <t>732995562972</t>
  </si>
  <si>
    <t>Charter Club Damask Designs Wovenblock Cott Smoke Queen</t>
  </si>
  <si>
    <t>100023143QN</t>
  </si>
  <si>
    <t>679610813623</t>
  </si>
  <si>
    <t>Hallmart Collectibles Nicas 8-Pc. Queen Comforter an Sage Queen</t>
  </si>
  <si>
    <t>883893544949</t>
  </si>
  <si>
    <t>Eddie Bauer Eddie Bauer Hawthorne Twin Qui Pastel Brown Twin</t>
  </si>
  <si>
    <t>USHSA91041378</t>
  </si>
  <si>
    <t>842941101954</t>
  </si>
  <si>
    <t>Tribeca Living Tribeca Living Heavyweight Fla Oatmeal Full</t>
  </si>
  <si>
    <t>FLA200SHEETFUOA</t>
  </si>
  <si>
    <t>100% COTTON FLANNEL</t>
  </si>
  <si>
    <t>734737644212</t>
  </si>
  <si>
    <t>Lacoste Home Lacoste Home Match Point Colle White Queen</t>
  </si>
  <si>
    <t>646998692713</t>
  </si>
  <si>
    <t>Martha Stewart Collection Martha Stewart Park Avenue Met Blush 50x84</t>
  </si>
  <si>
    <t>1-20130GBH</t>
  </si>
  <si>
    <t>96675300170</t>
  </si>
  <si>
    <t>SensorGel Cool Fusion Firm Density Pillo White Standard</t>
  </si>
  <si>
    <t>732999215799</t>
  </si>
  <si>
    <t>Martha Stewart Collection Whim by Martha Stewart Collect White TwinTwin XL</t>
  </si>
  <si>
    <t>100069907TW</t>
  </si>
  <si>
    <t>816651025022</t>
  </si>
  <si>
    <t>ienjoy Home Home Collection Premium Ultra Pale Blue Queen</t>
  </si>
  <si>
    <t>QLTDAMQIENJ</t>
  </si>
  <si>
    <t>734737629257</t>
  </si>
  <si>
    <t>Sunham Austin Reversible 12-Pc. Comfo Blue Queen</t>
  </si>
  <si>
    <t>819254022702</t>
  </si>
  <si>
    <t>Gizmo Kids Blast Off 3-Piece Comforter Se Multi Full</t>
  </si>
  <si>
    <t>GK23BO0002</t>
  </si>
  <si>
    <t>86569935144</t>
  </si>
  <si>
    <t>Madison Park Adrien Cotton 6-Pc. Super-Soft Wheat No Size</t>
  </si>
  <si>
    <t>MPE73-666</t>
  </si>
  <si>
    <t>100% COTTON; BATH TOWEL: 385GSM, HAND TOWEL: 368GSM, WASH TOWEL: 412GSM</t>
  </si>
  <si>
    <t>734737615212</t>
  </si>
  <si>
    <t>Sunham Haven Solid 350-Thread Count 4 Grey Queen</t>
  </si>
  <si>
    <t>190714335595</t>
  </si>
  <si>
    <t>Lacourte Abbey 22 x 22 Decorative Pil Navy 22x22</t>
  </si>
  <si>
    <t>1125438NAVY22X22</t>
  </si>
  <si>
    <t>22X22</t>
  </si>
  <si>
    <t>96675639614</t>
  </si>
  <si>
    <t>SensorGel CoolFusion Firm Standard Pi White Standard</t>
  </si>
  <si>
    <t>810026173431</t>
  </si>
  <si>
    <t>Cheer Collection Cheer Collection Standard Pill White 18x18</t>
  </si>
  <si>
    <t>CC-ADPL2PK-18X18</t>
  </si>
  <si>
    <t>732997005309</t>
  </si>
  <si>
    <t>Martha Stewart Collection Essentials Solid Microfiber 4- Brushed Alloy Queen</t>
  </si>
  <si>
    <t>10014996QN</t>
  </si>
  <si>
    <t>784857883831</t>
  </si>
  <si>
    <t>Idea Nuova Union 2-Pc. Bath Rug Set Blue No Size</t>
  </si>
  <si>
    <t>K698280</t>
  </si>
  <si>
    <t>732998000242</t>
  </si>
  <si>
    <t>Charter Club Continuous Comfort Medium Stan White Standard</t>
  </si>
  <si>
    <t>100085911SQ</t>
  </si>
  <si>
    <t>91116694795</t>
  </si>
  <si>
    <t>Jessica Sanders Solid Microfiber Queen Sheet S Plum Queen</t>
  </si>
  <si>
    <t>SM3SSQ</t>
  </si>
  <si>
    <t>733001712978</t>
  </si>
  <si>
    <t>Martha Stewart Collection Holiday Yarn-Dye Quilted Stand Red Standard Sham</t>
  </si>
  <si>
    <t>100104003ST</t>
  </si>
  <si>
    <t>760028583434</t>
  </si>
  <si>
    <t>DreamEase Sherpa Comfort Pillow, Standar Natural</t>
  </si>
  <si>
    <t>10DREAMNAT-10J</t>
  </si>
  <si>
    <t>800298714517</t>
  </si>
  <si>
    <t>DKC ESSENTIAL SILK Q</t>
  </si>
  <si>
    <t>2OC006234QTJ</t>
  </si>
  <si>
    <t>90% LYOCELL/10% SILK; REVERSE: 100% LYOCELL; FILL: 100% POLYESTER</t>
  </si>
  <si>
    <t>750105159294</t>
  </si>
  <si>
    <t>LUXE DOWN MED K</t>
  </si>
  <si>
    <t>BLOC0410WK</t>
  </si>
  <si>
    <t>728455948967</t>
  </si>
  <si>
    <t>M107 PACIFIC KING CO</t>
  </si>
  <si>
    <t>M107KCOVWH</t>
  </si>
  <si>
    <t>675716963903</t>
  </si>
  <si>
    <t>JELENA CK ROOM INBAG NT</t>
  </si>
  <si>
    <t>MPE10-525</t>
  </si>
  <si>
    <t>COMFORTER/SHAM/BEDSKIRT DROP/PLATFORM/PILLOW/WINDOW PANEL/TIEBACKS/VALANCE/EUROPEAN SHAM: POLYESTER; SHEETS: POLYESTER 85 GRAMS PER SQUARE METER; COMFORTER/SHAM FILL: POLYESTER 270 GRAMS PER SQUARE METER; PILLOW FILL: POLYESTER</t>
  </si>
  <si>
    <t>732999960187</t>
  </si>
  <si>
    <t>CRESPARE QN CVLT</t>
  </si>
  <si>
    <t>100097467QN</t>
  </si>
  <si>
    <t>COTTON/POLYESTER; BACK: COTTON; EMBROIDERY: POLYESTER; FILLING: POLYESTER</t>
  </si>
  <si>
    <t>733001004905</t>
  </si>
  <si>
    <t>CRESPARE FQ DUVET</t>
  </si>
  <si>
    <t>100096228FQ</t>
  </si>
  <si>
    <t>51% POLYESTER/49% COTTON; REVERSE: 55% COTTON/45% POLYESTER</t>
  </si>
  <si>
    <t>636193195461</t>
  </si>
  <si>
    <t>DBL DIA KG CVLT SILV</t>
  </si>
  <si>
    <t>SDB29KC790</t>
  </si>
  <si>
    <t>679610822090</t>
  </si>
  <si>
    <t>DANSLO QN 14PC COMF SET</t>
  </si>
  <si>
    <t>733001004073</t>
  </si>
  <si>
    <t>ETHEREAL FQ DUVET</t>
  </si>
  <si>
    <t>100079136FQ</t>
  </si>
  <si>
    <t>POLYESTER AND RAYON; REVERSE: COTTON AND POLYESTER</t>
  </si>
  <si>
    <t>766195490513</t>
  </si>
  <si>
    <t>COVE STP TW DUV SET BASIC</t>
  </si>
  <si>
    <t>134427TH004</t>
  </si>
  <si>
    <t>FABRIC: COTTON THREAD COUNT: 144</t>
  </si>
  <si>
    <t>706255006995</t>
  </si>
  <si>
    <t>DBD28QC790</t>
  </si>
  <si>
    <t>SHELL:COTTON;FILL:POLYESTER</t>
  </si>
  <si>
    <t>841323168608</t>
  </si>
  <si>
    <t>BEDDING SET</t>
  </si>
  <si>
    <t>DVA6CSKINGGHGY</t>
  </si>
  <si>
    <t>GENEVA HOME FASHION LLC</t>
  </si>
  <si>
    <t>883893480193</t>
  </si>
  <si>
    <t>KEIGHLEY QUILT F/Q SET</t>
  </si>
  <si>
    <t>810013412611</t>
  </si>
  <si>
    <t>1.5 MEM FM MAT TOP Q</t>
  </si>
  <si>
    <t>F02-00148-QN0</t>
  </si>
  <si>
    <t>SEALY/COMFORT REVOLUTION LLC</t>
  </si>
  <si>
    <t>732999959532</t>
  </si>
  <si>
    <t>CRESPARE EU SHAM</t>
  </si>
  <si>
    <t>100096230ER</t>
  </si>
  <si>
    <t>COTTON/POLYESTER; EMBROIDERY: METALLIC; LINING: COTTON</t>
  </si>
  <si>
    <t>675716493868</t>
  </si>
  <si>
    <t>MP LAUREL TAUPE FU CS</t>
  </si>
  <si>
    <t>MP10-658</t>
  </si>
  <si>
    <t>COMFORTER: POLYESTER; FILL: POLYESTERSHAM: POLYESTERBEDSKIRT: POLYESTER PILLOW: POLYESTER COVER; FILL: POLYESTER</t>
  </si>
  <si>
    <t>840008369811</t>
  </si>
  <si>
    <t>OZ487210WEIGHTEDBLAN</t>
  </si>
  <si>
    <t>OZGL487210WB</t>
  </si>
  <si>
    <t>72X6X48/4</t>
  </si>
  <si>
    <t>CVB INC</t>
  </si>
  <si>
    <t>815584023495</t>
  </si>
  <si>
    <t>DREAMWEAVE MP CAL K BASIC</t>
  </si>
  <si>
    <t>MP001439-CK</t>
  </si>
  <si>
    <t>COVER: POLYESTER/NYLON; FILL: POLYESTER GEL FIBER</t>
  </si>
  <si>
    <t>732999620111</t>
  </si>
  <si>
    <t>MS ALLRGY BAR CMF FQ</t>
  </si>
  <si>
    <t>100105527FQ</t>
  </si>
  <si>
    <t>MMG-MARTHA STEWART/KEECO LLC</t>
  </si>
  <si>
    <t>732994459310</t>
  </si>
  <si>
    <t>MIDLAND VINE TW BDSP</t>
  </si>
  <si>
    <t>MIDLANDTW</t>
  </si>
  <si>
    <t>SHAGGY FUR TW COMF</t>
  </si>
  <si>
    <t>732997384862</t>
  </si>
  <si>
    <t>TEXTURED FUR THRW IVORY</t>
  </si>
  <si>
    <t>706257399811</t>
  </si>
  <si>
    <t>680TC KG FL SAND</t>
  </si>
  <si>
    <t>68D21KGFL</t>
  </si>
  <si>
    <t>726895696394</t>
  </si>
  <si>
    <t>CV Q EURO SHAM GRY</t>
  </si>
  <si>
    <t>100024683ER</t>
  </si>
  <si>
    <t>706257650127</t>
  </si>
  <si>
    <t>680TC KG FL ROSE</t>
  </si>
  <si>
    <t>68R21KGFL</t>
  </si>
  <si>
    <t>806222663067</t>
  </si>
  <si>
    <t>TH LEILANI</t>
  </si>
  <si>
    <t>51T9937-SU-W1-O1</t>
  </si>
  <si>
    <t>680TC QN FT WHT</t>
  </si>
  <si>
    <t>732999959877</t>
  </si>
  <si>
    <t>VLVT DMND Q STSH GLD</t>
  </si>
  <si>
    <t>100017210SD</t>
  </si>
  <si>
    <t>FRONT: 100% RAYON; REVERSE: 100% COTTON; EMBROIDERY/FILL: 100% POLYESTER</t>
  </si>
  <si>
    <t>732996769943</t>
  </si>
  <si>
    <t>VLVT DIAMOND STD SH</t>
  </si>
  <si>
    <t>100017200SD</t>
  </si>
  <si>
    <t>726895380163</t>
  </si>
  <si>
    <t>PLUME Q KG SHAM</t>
  </si>
  <si>
    <t>1005628KG</t>
  </si>
  <si>
    <t>FRONT: POLYESTER/COTTON BLEND, BACK: 100% COTTON, FILL: 100% POLYESTER</t>
  </si>
  <si>
    <t>734737581548</t>
  </si>
  <si>
    <t>FRANCIE BTRED FUL CS</t>
  </si>
  <si>
    <t>800298677942</t>
  </si>
  <si>
    <t>STONEWASH MATELASSE</t>
  </si>
  <si>
    <t>STM100501SAE</t>
  </si>
  <si>
    <t>733001487661</t>
  </si>
  <si>
    <t>WHIM 250 PR QN PARIS</t>
  </si>
  <si>
    <t>100103215QN</t>
  </si>
  <si>
    <t>96675763425</t>
  </si>
  <si>
    <t>ULTFRSH MF PLW CONTR</t>
  </si>
  <si>
    <t>86569363473</t>
  </si>
  <si>
    <t>ME REV GREY K BASIC</t>
  </si>
  <si>
    <t>732996226682</t>
  </si>
  <si>
    <t>MOIRE EURO SHAM</t>
  </si>
  <si>
    <t>100062609ER</t>
  </si>
  <si>
    <t>680TC STPC WHT</t>
  </si>
  <si>
    <t>810030873662</t>
  </si>
  <si>
    <t>SLD REV 3PC TXL RED/BLK</t>
  </si>
  <si>
    <t>NS659BR11</t>
  </si>
  <si>
    <t>29927534535</t>
  </si>
  <si>
    <t>SZ PRESTON 40X63 SGE BASIC</t>
  </si>
  <si>
    <t>DECK THE HALLS</t>
  </si>
  <si>
    <t>735837574157</t>
  </si>
  <si>
    <t>Hotel Collection European White Goose Down Ligh White King</t>
  </si>
  <si>
    <t>HWGDLK03</t>
  </si>
  <si>
    <t>846339073380</t>
  </si>
  <si>
    <t>Oscar Oliver Leighton Blue California King Grey California King</t>
  </si>
  <si>
    <t>2162044WKCS</t>
  </si>
  <si>
    <t>OSCAR OLIVER/J QUEEN NEW YORK INC</t>
  </si>
  <si>
    <t>635983500980</t>
  </si>
  <si>
    <t>Ella Jayne 100 Certified RDS All Season White Twin</t>
  </si>
  <si>
    <t>BMI10579LT</t>
  </si>
  <si>
    <t>750105134444</t>
  </si>
  <si>
    <t>Charter Club European White Down Heavyweigh White King</t>
  </si>
  <si>
    <t>FEDC0830WK</t>
  </si>
  <si>
    <t>732998330288</t>
  </si>
  <si>
    <t>Hotel Collection Hotel Collection Artisan King White King</t>
  </si>
  <si>
    <t>100077692KG</t>
  </si>
  <si>
    <t>FRONT: POLYESTER/COTTON BLEND, BACK: 100% COTTON</t>
  </si>
  <si>
    <t>679610822427</t>
  </si>
  <si>
    <t>Hallmart Collectibles Dorine Gray 14 PC King Comfort Gray King</t>
  </si>
  <si>
    <t>732995895407</t>
  </si>
  <si>
    <t>Hotel Collection Metallic Stone King Duvet Cove Gold King</t>
  </si>
  <si>
    <t>100038519KG</t>
  </si>
  <si>
    <t>POLYESTER / RAYON; REVERSES TO COTTON</t>
  </si>
  <si>
    <t>848742088678</t>
  </si>
  <si>
    <t>Lush Decor Lush Decor 52 x 95 Blackout Grey 52x95</t>
  </si>
  <si>
    <t>16T004577</t>
  </si>
  <si>
    <t>732997572191</t>
  </si>
  <si>
    <t>Hotel Collection Hotel Collection Meadow FullQ Lightpastel Gr FullQueen</t>
  </si>
  <si>
    <t>100077618FQ</t>
  </si>
  <si>
    <t>732995895391</t>
  </si>
  <si>
    <t>Hotel Collection Metallic Stone FullQueen Duve Gold FullQueen</t>
  </si>
  <si>
    <t>100038519FQ</t>
  </si>
  <si>
    <t>FABRIC: POLYESTER/RAYON; REVERSES TO COTTON</t>
  </si>
  <si>
    <t>879421010819</t>
  </si>
  <si>
    <t>Nanshing Bella 7-Piece Comforter Set, B Multi King</t>
  </si>
  <si>
    <t>BELLA7-K</t>
  </si>
  <si>
    <t>NANSHING AMERICA INC</t>
  </si>
  <si>
    <t>732997572214</t>
  </si>
  <si>
    <t>100077619FQ</t>
  </si>
  <si>
    <t>706257253694</t>
  </si>
  <si>
    <t>68W11QD790</t>
  </si>
  <si>
    <t>732994723671</t>
  </si>
  <si>
    <t>Charter Club Damask Designs Seersucker Cott White Grey King</t>
  </si>
  <si>
    <t>100023821KG</t>
  </si>
  <si>
    <t>FABRIC: 100% COTTON; THREAD COUNT: 150</t>
  </si>
  <si>
    <t>706258090571</t>
  </si>
  <si>
    <t>Charter Club Damask Stripe Supima Cotton 55 White King</t>
  </si>
  <si>
    <t>DLLSTKDSWHT</t>
  </si>
  <si>
    <t>706258051374</t>
  </si>
  <si>
    <t>Charter Club Damask Cotton 210-Thread Count White FullQueen</t>
  </si>
  <si>
    <t>DSKQLTCFQWH</t>
  </si>
  <si>
    <t>706258091004</t>
  </si>
  <si>
    <t>DLLSTQDSCRN</t>
  </si>
  <si>
    <t>810006710410</t>
  </si>
  <si>
    <t>Enchante Home Enchante Home Gracious 2-Pc. B White ONE SIZE</t>
  </si>
  <si>
    <t>GRACIOWHT2BS</t>
  </si>
  <si>
    <t>706257404683</t>
  </si>
  <si>
    <t>Hotel Collection Cotton 680 Thread Count Califo Palladium California King</t>
  </si>
  <si>
    <t>68P23CKFT</t>
  </si>
  <si>
    <t>CALKBTTMFT</t>
  </si>
  <si>
    <t>784851506835</t>
  </si>
  <si>
    <t>Elegant Comfort Elegant Comfort All - Season D Black FullQueen</t>
  </si>
  <si>
    <t>COMFORTER F QBLACK B</t>
  </si>
  <si>
    <t>22415061124</t>
  </si>
  <si>
    <t>Sealy Cool Comfort Fitted Mattress P White Full</t>
  </si>
  <si>
    <t>POLYESTER/NYLON</t>
  </si>
  <si>
    <t>26865968118</t>
  </si>
  <si>
    <t>Elrene Elrene Athena 52 X 108 Windo Gold 52x108</t>
  </si>
  <si>
    <t>17798GLD</t>
  </si>
  <si>
    <t>26865968132</t>
  </si>
  <si>
    <t>Elrene Elrene Athena 52 X 108 Windo Red 52x108</t>
  </si>
  <si>
    <t>17798RED</t>
  </si>
  <si>
    <t>706257399927</t>
  </si>
  <si>
    <t>68H19QNFL</t>
  </si>
  <si>
    <t>810031411207</t>
  </si>
  <si>
    <t>Battilo Battilo Knit Zig Zag Textured Navy NO SIZE</t>
  </si>
  <si>
    <t>BTL15025L</t>
  </si>
  <si>
    <t>732997572238</t>
  </si>
  <si>
    <t>Hotel Collection Hotel Collection Meadow Europe Lightpastel Gr European Sham</t>
  </si>
  <si>
    <t>100077620ER</t>
  </si>
  <si>
    <t>732995895520</t>
  </si>
  <si>
    <t>Hotel Collection Metallic Stone Quilted Europea Gold European Sham</t>
  </si>
  <si>
    <t>100041577ER</t>
  </si>
  <si>
    <t>POLYESTER / RAYON</t>
  </si>
  <si>
    <t>21371036092</t>
  </si>
  <si>
    <t>United Curtain Co Inc Herringbone 54 X 84 Window P Beige 54 x 84</t>
  </si>
  <si>
    <t>HER84BGE</t>
  </si>
  <si>
    <t>UNITED CURTAIN CO INC</t>
  </si>
  <si>
    <t>732995895513</t>
  </si>
  <si>
    <t>Hotel Collection Metallic Stone Quilted Standar Gold Standard Sham</t>
  </si>
  <si>
    <t>100041576SD</t>
  </si>
  <si>
    <t>732997572245</t>
  </si>
  <si>
    <t>Hotel Collection Hotel Collection Meadow Quilte Lightpastel Gr European Sham</t>
  </si>
  <si>
    <t>100077621ER</t>
  </si>
  <si>
    <t>840073663838</t>
  </si>
  <si>
    <t>Nestl Bedding Deep Pocket Cotton Terry Split White Queen</t>
  </si>
  <si>
    <t>MC-NB-MPD-SQ1</t>
  </si>
  <si>
    <t>810031410460</t>
  </si>
  <si>
    <t>Battilo Battilo Home Cable Knit Woven Light Gray</t>
  </si>
  <si>
    <t>BTL15019-LIGHT GREY</t>
  </si>
  <si>
    <t>726895578355</t>
  </si>
  <si>
    <t>Martha Stewart Collection Solid Open Stock 400-Thread Co Butter Yellow Queen Fitted</t>
  </si>
  <si>
    <t>BRGHT YELL</t>
  </si>
  <si>
    <t>732995895421</t>
  </si>
  <si>
    <t>Hotel Collection Metallic Stone Standard Sham Gold Standard Sham</t>
  </si>
  <si>
    <t>100038520SD</t>
  </si>
  <si>
    <t>732997572283</t>
  </si>
  <si>
    <t>Hotel Collection Hotel Collection Meadow Standa Lightpastel Gr Standard Sham</t>
  </si>
  <si>
    <t>100077631SD</t>
  </si>
  <si>
    <t>734737587854</t>
  </si>
  <si>
    <t>Lacoste Match Cotton Colorblocked Bath Beach Glass</t>
  </si>
  <si>
    <t>T17608G2273052</t>
  </si>
  <si>
    <t>610406819429</t>
  </si>
  <si>
    <t>Homey Cozy Homey Cozy Zoey Liane Throw Pi Blue 20x20</t>
  </si>
  <si>
    <t>85099-BLUE</t>
  </si>
  <si>
    <t>194590010058</t>
  </si>
  <si>
    <t>Elrene Elrene Tucker Ticking 60 x 15 Gray 60x15</t>
  </si>
  <si>
    <t>101429VALX060X015GRY</t>
  </si>
  <si>
    <t>VALA15X52</t>
  </si>
  <si>
    <t>42694347238</t>
  </si>
  <si>
    <t>Charter Club Classic Bath Rug Black 21 x 34</t>
  </si>
  <si>
    <t>CSOLD2X3BL</t>
  </si>
  <si>
    <t>91116725604</t>
  </si>
  <si>
    <t>Sanders Holiday Microfiber 4 Piece Twi Christmas Truck Twin</t>
  </si>
  <si>
    <t>HDYSS4T</t>
  </si>
  <si>
    <t>96675639720</t>
  </si>
  <si>
    <t>SensorGel Any Position StandardQueen Pi White Standard</t>
  </si>
  <si>
    <t>COVER: 250-THREAD COUNT COTTON SATEEN; FILL: HYPOALLERGENIC FIBER FILL</t>
  </si>
  <si>
    <t>193842113691</t>
  </si>
  <si>
    <t>J Queen New York J Queen New York Delilah King Indigo King</t>
  </si>
  <si>
    <t>2618065KCS</t>
  </si>
  <si>
    <t>800298705225</t>
  </si>
  <si>
    <t>DKC SEDUCTION</t>
  </si>
  <si>
    <t>2OC004010DVG</t>
  </si>
  <si>
    <t>65% POLYESTER/24% RAYON/11% METALLIC</t>
  </si>
  <si>
    <t>800298681284</t>
  </si>
  <si>
    <t>DKNY Chenille Stripe King Comforter Silver King</t>
  </si>
  <si>
    <t>2OD113597KCMS</t>
  </si>
  <si>
    <t>86569252289</t>
  </si>
  <si>
    <t>Madison Park Essentials Essentials Joella Queen 24-Pc. Blush Queen</t>
  </si>
  <si>
    <t>MPE10-809</t>
  </si>
  <si>
    <t>732998346661</t>
  </si>
  <si>
    <t>Martha Stewart Collection Ivory Paisley Plume 14-Pc. Que Ivory Queen</t>
  </si>
  <si>
    <t>100089179QN</t>
  </si>
  <si>
    <t>842164001703</t>
  </si>
  <si>
    <t>AQ Textiles Bergen Cotton Sateen 1000-Thre Light Blue Queen</t>
  </si>
  <si>
    <t>19843703006AQT</t>
  </si>
  <si>
    <t>96X8X96/8</t>
  </si>
  <si>
    <t>8051275393702</t>
  </si>
  <si>
    <t>GIACOMO BATH MAT 35"</t>
  </si>
  <si>
    <t>MISSONI/T &amp; J VESTOR AMERICA INC</t>
  </si>
  <si>
    <t>844067020010</t>
  </si>
  <si>
    <t>Bed Tite Bed Tite 800 Thread Count Shee Blue King</t>
  </si>
  <si>
    <t>BED TITE/JLJ HOME FURNISHINGS LLC</t>
  </si>
  <si>
    <t>COTTON, POLYESTER</t>
  </si>
  <si>
    <t>636193195454</t>
  </si>
  <si>
    <t>DBL DIA QN CVLT SILV</t>
  </si>
  <si>
    <t>SDB28QC790</t>
  </si>
  <si>
    <t>810094031541</t>
  </si>
  <si>
    <t>WEIGHT ROBE LG</t>
  </si>
  <si>
    <t>GRVRB2-0030</t>
  </si>
  <si>
    <t>GRAVITY/CPG.IO BLOOMINGDALES</t>
  </si>
  <si>
    <t>ROBE: 100% POLYESTER; WEIGHTED INNER: 100% COTTON, FILL: 100% SILICON BEADS</t>
  </si>
  <si>
    <t>848336024082</t>
  </si>
  <si>
    <t>Levtex Levtex Home Gianna Pink Twin Q Pink Twin</t>
  </si>
  <si>
    <t>L44201TS</t>
  </si>
  <si>
    <t>883893657373</t>
  </si>
  <si>
    <t>GRISAILLE WEAVE SHAM</t>
  </si>
  <si>
    <t>USHSGY1145621</t>
  </si>
  <si>
    <t>KGTAILORED</t>
  </si>
  <si>
    <t>VERA WANG/REVMAN INTERNATIONAL INC</t>
  </si>
  <si>
    <t>75% COTTON, 25% POLYESTER</t>
  </si>
  <si>
    <t>810015870242</t>
  </si>
  <si>
    <t>Bedgear Level 2.0 Pillow White Standard</t>
  </si>
  <si>
    <t>BGP104AMBP-MCY</t>
  </si>
  <si>
    <t>BEDGEAR LLC</t>
  </si>
  <si>
    <t>DRI-TEC</t>
  </si>
  <si>
    <t>42075599348</t>
  </si>
  <si>
    <t>ENCHANTED</t>
  </si>
  <si>
    <t>2-0153PSCKLG</t>
  </si>
  <si>
    <t>MICHAEL ARAM/CHF INDUSTRIES INC</t>
  </si>
  <si>
    <t>681827992701</t>
  </si>
  <si>
    <t>Ella Jayne Ella Jayne Wearable Weighted S Gray No Size</t>
  </si>
  <si>
    <t>EJHCFWTSN-GRY-S-10</t>
  </si>
  <si>
    <t>191790024502</t>
  </si>
  <si>
    <t>Fairfield Square Collection Brookline 1400-Thread Count 6- Sky Blue King</t>
  </si>
  <si>
    <t>23302104175AQT</t>
  </si>
  <si>
    <t>191790024472</t>
  </si>
  <si>
    <t>Fairfield Square Collection Brookline 1400-Thread Count 6- Ivory King</t>
  </si>
  <si>
    <t>23302104003AQT</t>
  </si>
  <si>
    <t>4008832666582</t>
  </si>
  <si>
    <t>66658 TP HOLDER 4 P</t>
  </si>
  <si>
    <t>BL2412M0104</t>
  </si>
  <si>
    <t>BLOMUS-SKS USA CORP</t>
  </si>
  <si>
    <t>POLISHED STAINLESS STEEL</t>
  </si>
  <si>
    <t>191790023512</t>
  </si>
  <si>
    <t>Fairfield Square Collection Fairfield Square Sydney 825-Th Light Blue King</t>
  </si>
  <si>
    <t>23202104006AQT</t>
  </si>
  <si>
    <t>733001882770</t>
  </si>
  <si>
    <t>SKY PERC KG SS STM</t>
  </si>
  <si>
    <t>20P70STKGSS</t>
  </si>
  <si>
    <t>191790023406</t>
  </si>
  <si>
    <t>Fairfield Square Collection Fairfield Square Sydney 825-Th White King</t>
  </si>
  <si>
    <t>23202104001AQT</t>
  </si>
  <si>
    <t>675716960605</t>
  </si>
  <si>
    <t>Urban Habitat Urban Habitat Heathered 4-PC Q Charcoal Queen</t>
  </si>
  <si>
    <t>UH20-2068</t>
  </si>
  <si>
    <t>100% COTTON, 150 GRAMS, HEATHERED JERSEY SHEET</t>
  </si>
  <si>
    <t>732996252766</t>
  </si>
  <si>
    <t>Martha Stewart Collection Cool To Touch Queen Mattress P White Queen</t>
  </si>
  <si>
    <t>100069116QN</t>
  </si>
  <si>
    <t>655385046206</t>
  </si>
  <si>
    <t>Elite Home Winter Nights Cotton Solid Fla Med Blue</t>
  </si>
  <si>
    <t>FLASSKG424WNTFL</t>
  </si>
  <si>
    <t>FLANNEL</t>
  </si>
  <si>
    <t>679610822830</t>
  </si>
  <si>
    <t>Hallmart Collectibles Maxson 12-Pc. Reversible Queen Gray Queen</t>
  </si>
  <si>
    <t>734737626546</t>
  </si>
  <si>
    <t>Fairfield Square Collection PALACE RED KING CS Red King</t>
  </si>
  <si>
    <t>807000261895</t>
  </si>
  <si>
    <t>BR J SS Q N</t>
  </si>
  <si>
    <t>ZORLU USA INC</t>
  </si>
  <si>
    <t>MADE IN PAKISTAN</t>
  </si>
  <si>
    <t>734737475021</t>
  </si>
  <si>
    <t>Lacoste Home Solid Percale Twin XL Sheet Se Plum Twin XL</t>
  </si>
  <si>
    <t>732997393987</t>
  </si>
  <si>
    <t>Hotel Collection Primaloft 450-Thread Count Med White King</t>
  </si>
  <si>
    <t>100083175KG</t>
  </si>
  <si>
    <t>8051834374661</t>
  </si>
  <si>
    <t>DIAMOND JACQ WHITE B BASIC</t>
  </si>
  <si>
    <t>3FR6243D0112050Z0803</t>
  </si>
  <si>
    <t>FRETTE INC - MCYNET CONSIGNMENT</t>
  </si>
  <si>
    <t>100% EGYPTIAN COTTON, JACQUARD BORDER</t>
  </si>
  <si>
    <t>733001040477</t>
  </si>
  <si>
    <t>Martha Stewart Collection 100 Cotton Flannel 4-Pc. Full Cloud Full</t>
  </si>
  <si>
    <t>100020869FL</t>
  </si>
  <si>
    <t>735732033292</t>
  </si>
  <si>
    <t>VCNY Home Shore 3-Pc. King Embossed Quil Blue King</t>
  </si>
  <si>
    <t>SHO-3QT-KING-IN-BLUE</t>
  </si>
  <si>
    <t>848971033739</t>
  </si>
  <si>
    <t>Malouf Sleep Tite Pr1me Smooth Mattre White Queen</t>
  </si>
  <si>
    <t>SL0PSQMP</t>
  </si>
  <si>
    <t>SURFACE - 100% POLYESTER, SIDEWALL - 100% POLYESTER, BACKING - 100% POLYURETHANE</t>
  </si>
  <si>
    <t>191790041066</t>
  </si>
  <si>
    <t>AQ Textiles Camden 1250 thread count 4 pc Navy Queen</t>
  </si>
  <si>
    <t>25542103101AQT</t>
  </si>
  <si>
    <t>734737570702</t>
  </si>
  <si>
    <t>Fairfield Square Collection Amalanta Reversible 8-Pc. Quee Red Twin</t>
  </si>
  <si>
    <t>732998428312</t>
  </si>
  <si>
    <t>Hotel Collection Turkish 33 x 70 Bath Sheet Powdered Peach Bath Sheets</t>
  </si>
  <si>
    <t>HTLTURSPCH</t>
  </si>
  <si>
    <t>884402817769</t>
  </si>
  <si>
    <t>LEOPARD THROW</t>
  </si>
  <si>
    <t>GHM0121</t>
  </si>
  <si>
    <t>OSFA</t>
  </si>
  <si>
    <t>REPUBLIC CLOTHING</t>
  </si>
  <si>
    <t>706255007039</t>
  </si>
  <si>
    <t>DBD32QES79</t>
  </si>
  <si>
    <t>675716706180</t>
  </si>
  <si>
    <t>Madison Park Amherst Colorblocked 72 Squar Coral 72X72</t>
  </si>
  <si>
    <t>MP70-2319</t>
  </si>
  <si>
    <t>675716783792</t>
  </si>
  <si>
    <t>Madison Park Arctic 50 x 60 Checkerboard Chocolate 50x60</t>
  </si>
  <si>
    <t>BASI50-0415</t>
  </si>
  <si>
    <t>FAUX-FUR FACE: POLYESTER 280 GRAMS PER SQUARE METER; FAUX-FUR REVERSE: 100 GRAMS PER SQUARE METER 6D POLYESTER FILL</t>
  </si>
  <si>
    <t>706258615576</t>
  </si>
  <si>
    <t>Martha Stewart Collection Essentials Classic Quilted Que White Queen</t>
  </si>
  <si>
    <t>100058088QN</t>
  </si>
  <si>
    <t>86569377098</t>
  </si>
  <si>
    <t>Martha Stewart Collection Martha Stewart Soft Fleece Que Wisteria FullQueen</t>
  </si>
  <si>
    <t>10016635FQ</t>
  </si>
  <si>
    <t>675716791148</t>
  </si>
  <si>
    <t>Premier Comfort Parker Reversible Corduroy Plu Navy 20x20</t>
  </si>
  <si>
    <t>BASI30-0432</t>
  </si>
  <si>
    <t>706258615675</t>
  </si>
  <si>
    <t>Martha Stewart Collection Essentials Quilted Waterproof White Full</t>
  </si>
  <si>
    <t>100058089FU</t>
  </si>
  <si>
    <t>97277904087</t>
  </si>
  <si>
    <t>Wildkin Wildkin Dinosaur Land Pillow C Blue NO SIZE</t>
  </si>
  <si>
    <t>WILDKIN</t>
  </si>
  <si>
    <t>100% MICROFIBER POLYESTER</t>
  </si>
  <si>
    <t>29927460018</t>
  </si>
  <si>
    <t>Sun Zero Sun Zero Grant 54 x 18 Valan Stone 54x18</t>
  </si>
  <si>
    <t>706258615897</t>
  </si>
  <si>
    <t>Martha Stewart Collection Essentials Quilted Waterproof White Twin</t>
  </si>
  <si>
    <t>100058089TW</t>
  </si>
  <si>
    <t>706258616337</t>
  </si>
  <si>
    <t>Martha Stewart Collection Essentials 2-Pack King Pillow White King</t>
  </si>
  <si>
    <t>100058083KG</t>
  </si>
  <si>
    <t>849928019233</t>
  </si>
  <si>
    <t>Ottomanson Ottomanson Doormat Collection Beige 20x30</t>
  </si>
  <si>
    <t>DOR65051-20X30</t>
  </si>
  <si>
    <t>100% NYLON</t>
  </si>
  <si>
    <t>849928019110</t>
  </si>
  <si>
    <t>Ottomanson Ottomanson Doormat Collection Gray 20x30</t>
  </si>
  <si>
    <t>DOR65031-20X30</t>
  </si>
  <si>
    <t>706257574607</t>
  </si>
  <si>
    <t>Martha Stewart Collection Spa 17 x 25.5 Cotton Bath Ru Meringue 17 x 25.5</t>
  </si>
  <si>
    <t>MSSPA1X2MRG</t>
  </si>
  <si>
    <t>WELSPUN USA/MARTHA STEWART-EDI-MMG</t>
  </si>
  <si>
    <t>MICROFIBER: POLYESTER</t>
  </si>
  <si>
    <t>29927198911</t>
  </si>
  <si>
    <t>No. 918 No. 918 Sheer Voile 59 x 84 White 59x84</t>
  </si>
  <si>
    <t>734737534940</t>
  </si>
  <si>
    <t>Sunham Soft Spun Cotton Bath Towel Light Tan Bath Towels</t>
  </si>
  <si>
    <t>T18437N5282752</t>
  </si>
  <si>
    <t>734737534865</t>
  </si>
  <si>
    <t>Sunham Soft Spun Cotton Hand Towel Grey Hand Towels</t>
  </si>
  <si>
    <t>T18437N111626</t>
  </si>
  <si>
    <t>734737534902</t>
  </si>
  <si>
    <t>Sunham Soft Spun Cotton Wash Towel Light Tan Washcloths</t>
  </si>
  <si>
    <t>T18437N5281212</t>
  </si>
  <si>
    <t>86569373045</t>
  </si>
  <si>
    <t>MS DS MP ESSENTIAL T BASIC</t>
  </si>
  <si>
    <t>SLPSC1T01</t>
  </si>
  <si>
    <t>728455616262</t>
  </si>
  <si>
    <t>MONTREUX BASIC</t>
  </si>
  <si>
    <t>D002KPILMWH</t>
  </si>
  <si>
    <t>MATOUK/JOHN MATOUK AND CO INC CONS</t>
  </si>
  <si>
    <t>MADE IN LIECHTENSTEIN</t>
  </si>
  <si>
    <t>COVER: COTTON PERCALE; FILL: DUCK DOWN</t>
  </si>
  <si>
    <t>718498108244</t>
  </si>
  <si>
    <t>Shavel Reversible Micro Flannel to Wedgewood King</t>
  </si>
  <si>
    <t>EBSHKGWDG</t>
  </si>
  <si>
    <t>693614014879</t>
  </si>
  <si>
    <t>Ella Jayne Luxury 2 Loft Down Plush Feat White Queen</t>
  </si>
  <si>
    <t>EJHFTHRBED3</t>
  </si>
  <si>
    <t>SHELL: 100% COTTON,, FILL: TOP- 12OZ WHITE GOOSE DOWN, BOTTOM- 184OZ WHITE GOOSE FEATHER</t>
  </si>
  <si>
    <t>86569281548</t>
  </si>
  <si>
    <t>Beautyrest Beautyrest Pinsonic Heated Qui Gray King</t>
  </si>
  <si>
    <t>BR13-1364</t>
  </si>
  <si>
    <t>846339042607</t>
  </si>
  <si>
    <t>J Queen New York J Queen New York Marquis King Cream King</t>
  </si>
  <si>
    <t>1519002KDVST</t>
  </si>
  <si>
    <t>687145228300</t>
  </si>
  <si>
    <t>BLOOM WOOL GY KG BASIC</t>
  </si>
  <si>
    <t>MELANGE HOME</t>
  </si>
  <si>
    <t>AUSTRALIAN MERINO WOOL</t>
  </si>
  <si>
    <t>788904122362</t>
  </si>
  <si>
    <t>Blue Ridge Blue Ridge 500TC 100 Cotton D White King</t>
  </si>
  <si>
    <t>100% COTTON; FILL: WHITE DOWN</t>
  </si>
  <si>
    <t>732995871142</t>
  </si>
  <si>
    <t>Hotel Collection 680 Thread-Count King Duvet Co Palladium King</t>
  </si>
  <si>
    <t>100051657KG</t>
  </si>
  <si>
    <t>SUPIMA® COTTON</t>
  </si>
  <si>
    <t>706255910780</t>
  </si>
  <si>
    <t>Hotel Collection Hotel Collection 525 Thread Co Light Bronze Full</t>
  </si>
  <si>
    <t>5XB3FSS790</t>
  </si>
  <si>
    <t>788904121877</t>
  </si>
  <si>
    <t>Blue Ridge Blue Ridge 500TC Damask Stripe White FullQueen</t>
  </si>
  <si>
    <t>732996618449</t>
  </si>
  <si>
    <t>Martha Stewart Collection La Dolce Vita Patchwork King Q Lightpastel Bl King</t>
  </si>
  <si>
    <t>100060584KG</t>
  </si>
  <si>
    <t>815584029152</t>
  </si>
  <si>
    <t>FLAIR MED QN</t>
  </si>
  <si>
    <t>BMI-19003L-MQ</t>
  </si>
  <si>
    <t>100% COTTON COVER; FILL: DOWN</t>
  </si>
  <si>
    <t>885308614254</t>
  </si>
  <si>
    <t>Savannah Home Simmons Fremont Bedding and Sh Taupe</t>
  </si>
  <si>
    <t>16378BEDDKNGTAU</t>
  </si>
  <si>
    <t>81 SGL</t>
  </si>
  <si>
    <t>WAVERLY/KEECO LLC</t>
  </si>
  <si>
    <t>27399034287</t>
  </si>
  <si>
    <t>Vellux Sheared Mink King Charcoal Bla Light Gray King</t>
  </si>
  <si>
    <t>A1C8034287</t>
  </si>
  <si>
    <t>VELLUX/WESTPOINT HOME</t>
  </si>
  <si>
    <t>706258633358</t>
  </si>
  <si>
    <t>Charter Club Damask Designs Diamond Dot Cot White FullQueen</t>
  </si>
  <si>
    <t>D2FQCDDOTW</t>
  </si>
  <si>
    <t>842491129910</t>
  </si>
  <si>
    <t>Sweet Home Collection Sweet Home Collection Dobby Em Sage Queen</t>
  </si>
  <si>
    <t>8PC-DOBBY-Q</t>
  </si>
  <si>
    <t>840970170699</t>
  </si>
  <si>
    <t>Swift Home Ultra Soft Valatie Cotton Garm Faded Denim, Navy FullQueen</t>
  </si>
  <si>
    <t>SHDV3-303-FQFD</t>
  </si>
  <si>
    <t>750105040288</t>
  </si>
  <si>
    <t>MY FEATHERDOWN KG BASIC</t>
  </si>
  <si>
    <t>BLOP0430WK</t>
  </si>
  <si>
    <t>COVER: 100% COTTON; FILL: EUROPEAN FEATHER/DOWN</t>
  </si>
  <si>
    <t>706258049524</t>
  </si>
  <si>
    <t>Charter Club Damask Supima Cotton 550-Threa Parchment Beige Full</t>
  </si>
  <si>
    <t>DLLSLFLSPAR</t>
  </si>
  <si>
    <t>191790024427</t>
  </si>
  <si>
    <t>Fairfield Square Collection Brookline 1400-Thread Count 6- Grey Queen</t>
  </si>
  <si>
    <t>23302103082AQT</t>
  </si>
  <si>
    <t>812205031945</t>
  </si>
  <si>
    <t>N/A</t>
  </si>
  <si>
    <t>HAND POURED LACQUER</t>
  </si>
  <si>
    <t>842491128913</t>
  </si>
  <si>
    <t>Sweet Home Collection Solid Color Box Stitch Down Al Light Blue Queen</t>
  </si>
  <si>
    <t>SOLID-CMF-Q</t>
  </si>
  <si>
    <t>POLYESTER DOWN ALTERNATIVE</t>
  </si>
  <si>
    <t>846339098734</t>
  </si>
  <si>
    <t>J Queen New York Floral Park Boudoir Decorativ Blush No Size</t>
  </si>
  <si>
    <t>2390145BOUDR</t>
  </si>
  <si>
    <t>706257404645</t>
  </si>
  <si>
    <t>Hotel Collection Cotton 680 Thread Count Queen Palladium Queen</t>
  </si>
  <si>
    <t>68P19QNFL</t>
  </si>
  <si>
    <t>788904002299</t>
  </si>
  <si>
    <t>Blue Ridge Blue Ridge Oversized Super Flu White King</t>
  </si>
  <si>
    <t>22415564106</t>
  </si>
  <si>
    <t>Sealy Luxury 100 Cotton Twin Mattre White Twin</t>
  </si>
  <si>
    <t>734737636835</t>
  </si>
  <si>
    <t>Sunham Bluffton 8Pc Queen Comforter S Multi Queen</t>
  </si>
  <si>
    <t>734737635722</t>
  </si>
  <si>
    <t>Fairfield Square Collection NY1 multi fullcs Multi Full</t>
  </si>
  <si>
    <t>655385240581</t>
  </si>
  <si>
    <t>Elite Home FullQueen Reversible Down Alt NavyLight Blue FullQueen</t>
  </si>
  <si>
    <t>MICCSFQ410RVDAC</t>
  </si>
  <si>
    <t>883893603844</t>
  </si>
  <si>
    <t>Laura Ashley Mila Blue European Sham Blue European Sham</t>
  </si>
  <si>
    <t>USHSGY1098185</t>
  </si>
  <si>
    <t>RAMIE/ COTTON</t>
  </si>
  <si>
    <t>875647008012</t>
  </si>
  <si>
    <t>MY DREAMWEAVE PW KIN</t>
  </si>
  <si>
    <t>BMI8969L4</t>
  </si>
  <si>
    <t>732998237358</t>
  </si>
  <si>
    <t>Charter Club Damask Stripe Cotton 550-Threa Neo Natural King Fitted</t>
  </si>
  <si>
    <t>100056008KG</t>
  </si>
  <si>
    <t>788904130435</t>
  </si>
  <si>
    <t>Royal Luxe Royal Luxe Microfiber Color Do Navy King</t>
  </si>
  <si>
    <t>86569170422</t>
  </si>
  <si>
    <t>JLA Home Durant 72 x 72 Shower Curtai Blue 72X72</t>
  </si>
  <si>
    <t>MCH70-1142</t>
  </si>
  <si>
    <t>FABRIC: POLYESTER/COTTON 185 GRAMS PER SQUARE METER</t>
  </si>
  <si>
    <t>193842102244</t>
  </si>
  <si>
    <t>Royal Court Hilary Blue Window Straight Va Blue ONE SIZE</t>
  </si>
  <si>
    <t>2466006STVAL</t>
  </si>
  <si>
    <t>ROYAL COURT/J QUEEN NEW YORK INC</t>
  </si>
  <si>
    <t>883893627413</t>
  </si>
  <si>
    <t>Betsey Johnson Betseys Leopard Sheet Set, Ful Medium Pink Full</t>
  </si>
  <si>
    <t>USHSA01122741</t>
  </si>
  <si>
    <t>LUV BY BETSEY/REVMAN INTERNATIONAL</t>
  </si>
  <si>
    <t>706257574799</t>
  </si>
  <si>
    <t>Martha Stewart Collection Spa Cotton 25.5 x 45.0 Bath Gunmetal 25.5 x 45</t>
  </si>
  <si>
    <t>MSSPA2X4GNM</t>
  </si>
  <si>
    <t>MICROFIBER POLYESTER WITH SKID RESISTANT LATEX BACKING</t>
  </si>
  <si>
    <t>783048140197</t>
  </si>
  <si>
    <t>Pem America Holiday Plaid 3-Pc. Reversible Multiplaid FullQueen</t>
  </si>
  <si>
    <t>CS3910FQ-1540</t>
  </si>
  <si>
    <t>783048140234</t>
  </si>
  <si>
    <t>Pem America Holiday Fair Isle 3-Pc. Revers Red King</t>
  </si>
  <si>
    <t>CS3911KG-1540</t>
  </si>
  <si>
    <t>810030873648</t>
  </si>
  <si>
    <t>New Sega Solid Reversible BlueYellow 3 Hunter GreenGrey FullQueen</t>
  </si>
  <si>
    <t>NS659GH13</t>
  </si>
  <si>
    <t>814760023939</t>
  </si>
  <si>
    <t>ienjoy Home Home Collection Premium Pleate Purple Twin</t>
  </si>
  <si>
    <t>BDSKSLDTIENJ</t>
  </si>
  <si>
    <t>813538023850</t>
  </si>
  <si>
    <t>SOL BDSK TW NA</t>
  </si>
  <si>
    <t>IEH-BDSK-TWIN-NA</t>
  </si>
  <si>
    <t>DEFAULT VENDOR</t>
  </si>
  <si>
    <t>635983501000</t>
  </si>
  <si>
    <t>Ella Jayne 100 Certified RDS All Season White KingCalifornia King</t>
  </si>
  <si>
    <t>BMI10579LK</t>
  </si>
  <si>
    <t>788904025007</t>
  </si>
  <si>
    <t>Blue Ridge 400 Thread Count Damask White Beige FullQueen</t>
  </si>
  <si>
    <t>750105134420</t>
  </si>
  <si>
    <t>Charter Club European White Down Heavyweigh White FullQueen</t>
  </si>
  <si>
    <t>FEDC0830WQ</t>
  </si>
  <si>
    <t>734737636910</t>
  </si>
  <si>
    <t>Sunham Huntington Red Q CS Red Queen</t>
  </si>
  <si>
    <t>81806615056</t>
  </si>
  <si>
    <t>Serta Serta Down Illusion Antimicrob White FullQueen</t>
  </si>
  <si>
    <t>OZW020CFQWHT</t>
  </si>
  <si>
    <t>KEECO LLC</t>
  </si>
  <si>
    <t>811193033290</t>
  </si>
  <si>
    <t>Addy Home Fashions Luxury 800 Thread Count Egypti White California King</t>
  </si>
  <si>
    <t>M800EC4-CK</t>
  </si>
  <si>
    <t>PREMIER CONSULTING SERVICES</t>
  </si>
  <si>
    <t>38992937318</t>
  </si>
  <si>
    <t>Waterford Waterford Olann Ascot Valance, Gold-Tone ONE SIZE</t>
  </si>
  <si>
    <t>CNOLANW710A3</t>
  </si>
  <si>
    <t>608381466851</t>
  </si>
  <si>
    <t>Martha Stewart Collection Lush Embroidery Quilted Queen Ivory Queen</t>
  </si>
  <si>
    <t>LUSHEMIVQN</t>
  </si>
  <si>
    <t>706258089544</t>
  </si>
  <si>
    <t>Charter Club Damask Supima Cotton 550-Threa White King</t>
  </si>
  <si>
    <t>DLLSLKDSWHT</t>
  </si>
  <si>
    <t>883893646650</t>
  </si>
  <si>
    <t>Nautica Regatta Queen Sheet Set Deck White Queen</t>
  </si>
  <si>
    <t>USHSA01139885</t>
  </si>
  <si>
    <t>86569432445</t>
  </si>
  <si>
    <t>JLA Home Durham 9-Pc. Queen Comforter S Ivory Queen</t>
  </si>
  <si>
    <t>MCH10-2187</t>
  </si>
  <si>
    <t>86569260888</t>
  </si>
  <si>
    <t>Madison Park Madison Park Quebec 3-Piece Ki BlushLight Grey KingCalifornia King</t>
  </si>
  <si>
    <t>MP13-6491</t>
  </si>
  <si>
    <t>706258089087</t>
  </si>
  <si>
    <t>Charter Club Damask Stripe Supima Cotton 55 Mulberry Dark Purple King</t>
  </si>
  <si>
    <t>DLDSTKGSMLB</t>
  </si>
  <si>
    <t>726895387155</t>
  </si>
  <si>
    <t>Charter Club Damask Stripe Supima Cotton 55 Pale Lilac King</t>
  </si>
  <si>
    <t>DLLSTKGSLIL</t>
  </si>
  <si>
    <t>732995559460</t>
  </si>
  <si>
    <t>Charter Club Damask Designs Basket Stripe 3 White Twin</t>
  </si>
  <si>
    <t>100045794TW</t>
  </si>
  <si>
    <t>COTTON; FILLING: POLYESTER; SHAMS: COTTON</t>
  </si>
  <si>
    <t>734737637252</t>
  </si>
  <si>
    <t>Sunham Williamsburg 8-Pc. Reversible Camel King</t>
  </si>
  <si>
    <t>840008369989</t>
  </si>
  <si>
    <t>Dr. Oz Good Life Dr. Oz Good Life Safe in Bed W White Queen</t>
  </si>
  <si>
    <t>OZGL40QQWP</t>
  </si>
  <si>
    <t>732999172597</t>
  </si>
  <si>
    <t>Charter Club Damask Designs Woven Leaves Co White FullQueen</t>
  </si>
  <si>
    <t>100078678FQ</t>
  </si>
  <si>
    <t>843669104128</t>
  </si>
  <si>
    <t>Home Weavers Gradiation Bath Rug 3 Pc Set Sage</t>
  </si>
  <si>
    <t>BGRD3PC172021SA</t>
  </si>
  <si>
    <t>HOME WEAVERS INC</t>
  </si>
  <si>
    <t>86569099785</t>
  </si>
  <si>
    <t>Hotel Collection Egyptian Cotton King Blanket White King</t>
  </si>
  <si>
    <t>706258049326</t>
  </si>
  <si>
    <t>Charter Club Damask Stripe Supima Cotton 55 Navy Full</t>
  </si>
  <si>
    <t>DLDSTFLSNVY</t>
  </si>
  <si>
    <t>706258547860</t>
  </si>
  <si>
    <t>Martha Stewart Collection Cotton Percale 400-Thread Coun Cloudless Sky Queen</t>
  </si>
  <si>
    <t>T4QNSSKY</t>
  </si>
  <si>
    <t>732998408772</t>
  </si>
  <si>
    <t>Martha Stewart Collection Garden Floral Twin Quilt Blue TwinTwin XL</t>
  </si>
  <si>
    <t>100082701TW</t>
  </si>
  <si>
    <t>840444128461</t>
  </si>
  <si>
    <t>Chic Home Chic Home Normani 4-Pc. Queen Navy Queen</t>
  </si>
  <si>
    <t>DS2846-MC</t>
  </si>
  <si>
    <t>FABRIC: 100% POLYESTER MICROFIBER</t>
  </si>
  <si>
    <t>706257404676</t>
  </si>
  <si>
    <t>Hotel Collection Cotton 680 Thread Count King F Palladium King</t>
  </si>
  <si>
    <t>68P22KGFT</t>
  </si>
  <si>
    <t>734737576315</t>
  </si>
  <si>
    <t>Fairfield Square Collection Floral Toile 8-Pc. Queen Rever Blue King</t>
  </si>
  <si>
    <t>813654028784</t>
  </si>
  <si>
    <t>HiEnd Accents Red Euro Pillow, 27x27 Red 27x27</t>
  </si>
  <si>
    <t>WS4066E2</t>
  </si>
  <si>
    <t>22415616461</t>
  </si>
  <si>
    <t>Sealy Quilted Natural Comfort Feathe White Queen</t>
  </si>
  <si>
    <t>734737637382</t>
  </si>
  <si>
    <t>Fairfield Square Collection Aspen T1000 CVC California Kin White California King</t>
  </si>
  <si>
    <t>848971055274</t>
  </si>
  <si>
    <t>Brookside Down Alternative Quilted Comfo White King</t>
  </si>
  <si>
    <t>BS70KKMICO</t>
  </si>
  <si>
    <t>810006717129</t>
  </si>
  <si>
    <t>Enchante Home Glossy Turkish Cotton 2-Pc. To Peach ONE SIZE</t>
  </si>
  <si>
    <t>GLOSSPECH2B</t>
  </si>
  <si>
    <t>734737486096</t>
  </si>
  <si>
    <t>Fairfield Square Collection Norfolk Reversible 8-Pc. Queen Deep Red Queen</t>
  </si>
  <si>
    <t>858352005538</t>
  </si>
  <si>
    <t>PharMeDoc Pharmedoc Pregnancy Pillow wit Grey</t>
  </si>
  <si>
    <t>PMD-C-BP-JC</t>
  </si>
  <si>
    <t>PHARMEDOC INC</t>
  </si>
  <si>
    <t>PILLOW FILLING - POLYFIL, COVER - JERSEY</t>
  </si>
  <si>
    <t>848742083550</t>
  </si>
  <si>
    <t>Lush Decor Night Sky 72 x 72 Shower Cur GrayWhite 72X72</t>
  </si>
  <si>
    <t>16T003960</t>
  </si>
  <si>
    <t>739550333992</t>
  </si>
  <si>
    <t>Elrene Kaiden Blackout Lined 52 x 95 Black 52x95</t>
  </si>
  <si>
    <t>21188BLK</t>
  </si>
  <si>
    <t>POLYESTER/LINEN</t>
  </si>
  <si>
    <t>191790041073</t>
  </si>
  <si>
    <t>25542104003AQT</t>
  </si>
  <si>
    <t>26865854190</t>
  </si>
  <si>
    <t>Elrene Elrene All Seasons Faux Silk 5 Dusty Blue 52x108</t>
  </si>
  <si>
    <t>17789DTB</t>
  </si>
  <si>
    <t>38992002184</t>
  </si>
  <si>
    <t>Waterford Waterford Vaughn 12 x 18 Dec NavyGold No Size</t>
  </si>
  <si>
    <t>DPVGHNPW41812X18</t>
  </si>
  <si>
    <t>783048132154</t>
  </si>
  <si>
    <t>Truly Soft Truly Soft Zero Twist 6 Pieces Gray 1 Towel Set</t>
  </si>
  <si>
    <t>BTS3715GY6-6100</t>
  </si>
  <si>
    <t>TRACY PORTER/PEM AMERICA INC</t>
  </si>
  <si>
    <t>86569152862</t>
  </si>
  <si>
    <t>Urban Habitat Urban Habitat Brooklyn 70 x 7 Pink 70X72</t>
  </si>
  <si>
    <t>UH70-2242</t>
  </si>
  <si>
    <t>734737634985</t>
  </si>
  <si>
    <t>Sunham T500 CVC Printed Queen Sheet S Grey Queen</t>
  </si>
  <si>
    <t>816651021895</t>
  </si>
  <si>
    <t>ienjoy Home Elegant Designs Patterned Duve Grey Vine FullQueen</t>
  </si>
  <si>
    <t>732999521616</t>
  </si>
  <si>
    <t>Martha Stewart Collection Printed Cotton Flannel 4-Pc. Q Ski Mountain Queen</t>
  </si>
  <si>
    <t>100094879QN</t>
  </si>
  <si>
    <t>850018905121</t>
  </si>
  <si>
    <t>SILK HEADBAND BLK</t>
  </si>
  <si>
    <t>F-ACC-BND-001</t>
  </si>
  <si>
    <t>100% SILK</t>
  </si>
  <si>
    <t>750105159355</t>
  </si>
  <si>
    <t>LUXE DOWN ALT S S/Q</t>
  </si>
  <si>
    <t>BLOP0650WS</t>
  </si>
  <si>
    <t>675716845247</t>
  </si>
  <si>
    <t>Madison Park Microlight Plush to Berber Ful Grey FullQueen</t>
  </si>
  <si>
    <t>BL51-0904</t>
  </si>
  <si>
    <t>MICROLIGHT FACE AND FAUX-FLEECE REVERSE: POLYESTER</t>
  </si>
  <si>
    <t>734737581494</t>
  </si>
  <si>
    <t>Sunham Irene 8-Pc. Reversible Queen C Blush Queen</t>
  </si>
  <si>
    <t>734737485655</t>
  </si>
  <si>
    <t>Fairfield Square Collection Austin 8-Pc. Reversible Comfor Blue Queen</t>
  </si>
  <si>
    <t>1575C229V</t>
  </si>
  <si>
    <t>783048140135</t>
  </si>
  <si>
    <t>Pem America Katherine 8-Pc. Reversible Kin Blue King</t>
  </si>
  <si>
    <t>BIB3907KG-3240</t>
  </si>
  <si>
    <t>96675361133</t>
  </si>
  <si>
    <t>BioPEDIC Ultra-Fresh Luxury Gusseted Pi White King</t>
  </si>
  <si>
    <t>706258617587</t>
  </si>
  <si>
    <t>Martha Stewart Collection Essentials Full Bed Bug Mattre White Full</t>
  </si>
  <si>
    <t>100058087FU</t>
  </si>
  <si>
    <t>735837575758</t>
  </si>
  <si>
    <t>Martha Stewart Collection Waterproof Queen Mattress Pad White Queen</t>
  </si>
  <si>
    <t>SLPSC2Q09</t>
  </si>
  <si>
    <t>732998123163</t>
  </si>
  <si>
    <t>Hotel Collection Hotel Collection Layered Frame Jade European Sham</t>
  </si>
  <si>
    <t>100078423ER</t>
  </si>
  <si>
    <t>29927548723</t>
  </si>
  <si>
    <t>Archaeo Archaeo 52 x 84 Washed Cotto Oatmeal 52x84</t>
  </si>
  <si>
    <t>788904130640</t>
  </si>
  <si>
    <t>Royal Luxe Royal Luxe Microfiber Color Do Khaki King</t>
  </si>
  <si>
    <t>636193166171</t>
  </si>
  <si>
    <t>Martha Stewart Collection Cotton Terry Bath Robe White ONE SIZE</t>
  </si>
  <si>
    <t>MARTHA STEWART-EDI/TRIDENT</t>
  </si>
  <si>
    <t>854130004328</t>
  </si>
  <si>
    <t>Morning Glamour Signature Box 2 Pack Satin Pil Dot Standard Pillowcases</t>
  </si>
  <si>
    <t>PILLOWCASE2PRINT</t>
  </si>
  <si>
    <t>732996412320</t>
  </si>
  <si>
    <t>Martha Stewart Collection Whim By Martha Stewart Collect Cheetah Twin</t>
  </si>
  <si>
    <t>100057468TW</t>
  </si>
  <si>
    <t>732998868880</t>
  </si>
  <si>
    <t>Martha Stewart Collection Artisan Collection Ditsy Diamo Ivory European</t>
  </si>
  <si>
    <t>100090957ER</t>
  </si>
  <si>
    <t>706255007091</t>
  </si>
  <si>
    <t>DBL DIA Q STD SH MN BASIC</t>
  </si>
  <si>
    <t>DBE31QKS79</t>
  </si>
  <si>
    <t>SHELL:COTTON; FILL:POLYESTER</t>
  </si>
  <si>
    <t>636202045367</t>
  </si>
  <si>
    <t>Hotel Collection Hotel Collection Finest Elegan White Bath Towels</t>
  </si>
  <si>
    <t>HTLELITEBW</t>
  </si>
  <si>
    <t>86569280305</t>
  </si>
  <si>
    <t>Madison Park Cecily Printed Grommet 50 x 8 Mauve 50x84</t>
  </si>
  <si>
    <t>MP40-6605</t>
  </si>
  <si>
    <t>675716586119</t>
  </si>
  <si>
    <t>Martha Stewart Collection Martha Stewart Collection Soft Natural Ivory King</t>
  </si>
  <si>
    <t>MSFLEECEKIV</t>
  </si>
  <si>
    <t>726895578294</t>
  </si>
  <si>
    <t>Martha Stewart Collection Solid Open Stock 400-Thread Co Cloud White Queen Fitted</t>
  </si>
  <si>
    <t>10021050QN</t>
  </si>
  <si>
    <t>QNBOTTOMFT</t>
  </si>
  <si>
    <t>810066018860</t>
  </si>
  <si>
    <t>WHIT LACQUER BASIC</t>
  </si>
  <si>
    <t>JONATHAN ADLER ENTERPRISES LLC</t>
  </si>
  <si>
    <t>732996250052</t>
  </si>
  <si>
    <t>Charter Club Superluxe 300-Thread Count Med White King</t>
  </si>
  <si>
    <t>100069269KG</t>
  </si>
  <si>
    <t>91116725529</t>
  </si>
  <si>
    <t>Sanders Holiday Microfiber 4 Piece Twi Neve Twin</t>
  </si>
  <si>
    <t>HDYSS2T</t>
  </si>
  <si>
    <t>732999788071</t>
  </si>
  <si>
    <t>Charter Club Egyptian Cotton 30 x 56 Bath White Lily Bath Towels</t>
  </si>
  <si>
    <t>29927489279</t>
  </si>
  <si>
    <t>No. 918 Alison Floral Lace 58 x 24 R White 58x24</t>
  </si>
  <si>
    <t>29927256109</t>
  </si>
  <si>
    <t>No. 918 No. 918 Sheer Voile 59 x 40 White 59 x 40</t>
  </si>
  <si>
    <t>DESK CLOCK</t>
  </si>
  <si>
    <t>34086700943</t>
  </si>
  <si>
    <t>DRAFT - Tommy Pillows- Archive White King</t>
  </si>
  <si>
    <t>TOMMY HILFIGER HOME/HOMESTEAD INT</t>
  </si>
  <si>
    <t>190945105387</t>
  </si>
  <si>
    <t>Levtex Levtex Pisa Quilt Set, Twin Gray Twin</t>
  </si>
  <si>
    <t>L12481TS</t>
  </si>
  <si>
    <t>LEVTEX BABY/LEVTEX LLC</t>
  </si>
  <si>
    <t>32281256975</t>
  </si>
  <si>
    <t>Spider-Man Marvel Spider-Man Crawl 8pc Fu Multi Full</t>
  </si>
  <si>
    <t>JF25697</t>
  </si>
  <si>
    <t>733001880882</t>
  </si>
  <si>
    <t>Charter Club Medallion 2-Pc. Twin Comforter Blue Twin</t>
  </si>
  <si>
    <t>100108506TW</t>
  </si>
  <si>
    <t>733001040675</t>
  </si>
  <si>
    <t>Martha Stewart Collection 100 Cotton Flannel Pair of St Eclipse Standard Pillowcases</t>
  </si>
  <si>
    <t>100020869SP</t>
  </si>
  <si>
    <t>735837574171</t>
  </si>
  <si>
    <t>Hotel Collection European White Goose Down Medi White FullQueen</t>
  </si>
  <si>
    <t>HWGDQM05</t>
  </si>
  <si>
    <t>800298544923</t>
  </si>
  <si>
    <t>SURFACE BASIC</t>
  </si>
  <si>
    <t>CSC649173QTG</t>
  </si>
  <si>
    <t>FRONT: SILK. BACK: COTTON. FILL: POLYESTER.</t>
  </si>
  <si>
    <t>96675810617</t>
  </si>
  <si>
    <t>SensorGel 4 Gel Swirl Memory Foam Mattr Blue Swirl Full</t>
  </si>
  <si>
    <t>NO COVER</t>
  </si>
  <si>
    <t>25695990672</t>
  </si>
  <si>
    <t>NEW WARM F/Q</t>
  </si>
  <si>
    <t>HOLLANDER SLEEP PRODUCTS LLC</t>
  </si>
  <si>
    <t>COVER: COTTON; FILL: DOWN</t>
  </si>
  <si>
    <t>732997259832</t>
  </si>
  <si>
    <t>Hotel Collection Hotel Collection Italian Perca White King</t>
  </si>
  <si>
    <t>100068761KG</t>
  </si>
  <si>
    <t>46249612581</t>
  </si>
  <si>
    <t>Tommy Hilfiger Clash of 85 Stripe 3 Piece Ful Multi FullQueen</t>
  </si>
  <si>
    <t>17T0233-FQ-M1-D1</t>
  </si>
  <si>
    <t>100% COTTON KNIT</t>
  </si>
  <si>
    <t>86569023858</t>
  </si>
  <si>
    <t>JLA Home Madison Park Isla King 8 Piece Blue King</t>
  </si>
  <si>
    <t>MP10-5804</t>
  </si>
  <si>
    <t>COMFORTER/SHAM - 144TC COTTON PERCALE, 132TC COTTON/POLYESTER REVERSE, DECORATIVE PILLOW/BEDSKIRT/EURO SHAM - COTTON/POLYESTER, COMFORTER/DECORATIVE PILLOW FILL - 100% POLYESTER</t>
  </si>
  <si>
    <t>675716659424</t>
  </si>
  <si>
    <t>INKIVY INKIVY Pomona 3-Pc. KingCali Navy KingCalifornia King</t>
  </si>
  <si>
    <t>II13-565</t>
  </si>
  <si>
    <t>COVERLET/SHAM: COTTON PERCALE THREAD COUNT 140; COVERLET FILL: 90% COTTON, 5% POLYESTER, 5% OTHER 250 GRAMS PER SQUARE METER</t>
  </si>
  <si>
    <t>732998714422</t>
  </si>
  <si>
    <t>Hotel Collection LAST ACT Hotel Collection Cla Silver FullQueen</t>
  </si>
  <si>
    <t>100078484FQ</t>
  </si>
  <si>
    <t>636193537971</t>
  </si>
  <si>
    <t>Hotel Collection Piece Dye King Flat Sheet White King</t>
  </si>
  <si>
    <t>100027469KG</t>
  </si>
  <si>
    <t>810022471999</t>
  </si>
  <si>
    <t>Arista Bath Products Double Shower Rod ORB Oil-rubbed Bronze ONE SIZE</t>
  </si>
  <si>
    <t>DCSR010 ORB</t>
  </si>
  <si>
    <t>ARISTA BATH PRODUCTS</t>
  </si>
  <si>
    <t>METAL</t>
  </si>
  <si>
    <t>706258051381</t>
  </si>
  <si>
    <t>Charter Club Damask Cotton 210-Thread Count Parchment FullQueen</t>
  </si>
  <si>
    <t>DSKQLTCFQPA</t>
  </si>
  <si>
    <t>706258091073</t>
  </si>
  <si>
    <t>Charter Club Damask Stripe Supima Cotton 55 Lemonade Yellow Queen</t>
  </si>
  <si>
    <t>DLLSTQDSLEM</t>
  </si>
  <si>
    <t>LT/PAS YEL</t>
  </si>
  <si>
    <t>728455638127</t>
  </si>
  <si>
    <t>CAIRO BASIC</t>
  </si>
  <si>
    <t>E100STOWSDSD</t>
  </si>
  <si>
    <t>KG/BATHSHT</t>
  </si>
  <si>
    <t>MATOUK/JOHN MATOUK AND CO INC</t>
  </si>
  <si>
    <t>706258050803</t>
  </si>
  <si>
    <t>Charter Club Damask Stripe Supima Cotton 55 Cornflower Medium Blue Queen</t>
  </si>
  <si>
    <t>DLLSTQNSCRN</t>
  </si>
  <si>
    <t>732998795650</t>
  </si>
  <si>
    <t>Martha Stewart Collection Percale Gray Plaid Reversible Grey FullQueen</t>
  </si>
  <si>
    <t>100079424FQ</t>
  </si>
  <si>
    <t>191790037090</t>
  </si>
  <si>
    <t>AQ Textiles Ultra Lux T800 Cotton 4 piece Grey Queen</t>
  </si>
  <si>
    <t>24942103200AQT</t>
  </si>
  <si>
    <t>732999832934</t>
  </si>
  <si>
    <t>Martha Stewart Collection Farmstead Floral Patchwork Ful Red FullQueen</t>
  </si>
  <si>
    <t>100103967FQ</t>
  </si>
  <si>
    <t>642472100682</t>
  </si>
  <si>
    <t>Exclusive Home Exclusive Home Prism Double Cu Silver 36-72in</t>
  </si>
  <si>
    <t>ER10233672</t>
  </si>
  <si>
    <t>IRON, ACRYLIC, PLASTIC</t>
  </si>
  <si>
    <t>25695980024</t>
  </si>
  <si>
    <t>Great Sleep 5 Degree Hydrocool 3 King Pil White King</t>
  </si>
  <si>
    <t>98002-DCOM</t>
  </si>
  <si>
    <t>100% COTTON SATEEN COVER; DACRON® MEMORELLE® COOLFXâ„¢ FILL; 300TC</t>
  </si>
  <si>
    <t>636047292605</t>
  </si>
  <si>
    <t>Greenland Home Fashions Cotton Voile Bed Skirt 15 Twi White Twin</t>
  </si>
  <si>
    <t>GL-1107FBST</t>
  </si>
  <si>
    <t>COTTON VOILE DROP WITH POLYESTER LINER, POLYESTER PLATFORM</t>
  </si>
  <si>
    <t>679610822717</t>
  </si>
  <si>
    <t>Hallmart Collectibles Berrian 12-Pc. Reversible Cali Red California King</t>
  </si>
  <si>
    <t>810006715934</t>
  </si>
  <si>
    <t>Enchante Home Shawl Collar Turkish Cotton Ba Turquoise ONE SIZE</t>
  </si>
  <si>
    <t>SHWLBLUE</t>
  </si>
  <si>
    <t>OSFA REG</t>
  </si>
  <si>
    <t>ENCHANTE HOME/TURKO TEXTILE LLC</t>
  </si>
  <si>
    <t>TURKISH COTTON</t>
  </si>
  <si>
    <t>190714377502</t>
  </si>
  <si>
    <t>Lacourte Chunky Heathered 50 x 60 Dec Natural 50x60</t>
  </si>
  <si>
    <t>1114392NAT50X60</t>
  </si>
  <si>
    <t>734737620308</t>
  </si>
  <si>
    <t>Sunham Safari Reversible 12-Pc. Comfo Multi Full</t>
  </si>
  <si>
    <t>706257404324</t>
  </si>
  <si>
    <t>Hotel Collection Cotton 680 Thread Count Queen White Queen</t>
  </si>
  <si>
    <t>68H20QNFT</t>
  </si>
  <si>
    <t>726895066715</t>
  </si>
  <si>
    <t>Hotel Collection Diamond Stripe 14 x 24 Decor Grey</t>
  </si>
  <si>
    <t>FABRIC: COTTON; FILL: POLYESTER</t>
  </si>
  <si>
    <t>726895082470</t>
  </si>
  <si>
    <t>Hotel Collection Diamond Stripe 20 Square Deco Blue</t>
  </si>
  <si>
    <t>FABRIC: LINEN/COTTON; FILL: POLYESTER</t>
  </si>
  <si>
    <t>734737532724</t>
  </si>
  <si>
    <t>Fairfield Square Collection Paris Gold 8-Pc. Reversible Qu White Queen</t>
  </si>
  <si>
    <t>18393224NCPV</t>
  </si>
  <si>
    <t>732998714491</t>
  </si>
  <si>
    <t>Hotel Collection LAST ACT Hotel Collection Cla Silver Queen</t>
  </si>
  <si>
    <t>100078565QN</t>
  </si>
  <si>
    <t>732997256329</t>
  </si>
  <si>
    <t>Hotel Collection Italian Percale Cotton 2-Pc. S White Standard</t>
  </si>
  <si>
    <t>100068760SD</t>
  </si>
  <si>
    <t>83013301852</t>
  </si>
  <si>
    <t>Croscill Croscill Carlotta European Sha Multi European Sham</t>
  </si>
  <si>
    <t>2A0-502C0-8090</t>
  </si>
  <si>
    <t>689192610428</t>
  </si>
  <si>
    <t>Ella Jayne All-Season Soft Brushed Microf White Twin</t>
  </si>
  <si>
    <t>EJHCF90WH1</t>
  </si>
  <si>
    <t>788904130671</t>
  </si>
  <si>
    <t>Royal Luxe Royal Luxe Microfiber Color Do White King</t>
  </si>
  <si>
    <t>788904113254</t>
  </si>
  <si>
    <t>Royal Luxe Royal Luxe Microfiber Color Do Crimson King</t>
  </si>
  <si>
    <t>733001452041</t>
  </si>
  <si>
    <t>Martha Stewart Collection LAST ACT Merry Bright 14 x White 14x20</t>
  </si>
  <si>
    <t>706257391860</t>
  </si>
  <si>
    <t>Hotel Collection Finest Elegance 26 x 34 Tub Ice Blue</t>
  </si>
  <si>
    <t>HTLELITETB</t>
  </si>
  <si>
    <t>TUB MAT</t>
  </si>
  <si>
    <t>734737615366</t>
  </si>
  <si>
    <t>Sunham Haven Solid 350-Thread Count 4 Champagne Queen</t>
  </si>
  <si>
    <t>45516142769</t>
  </si>
  <si>
    <t>Leachco Leachco Cuddle-U Original Cove Sand</t>
  </si>
  <si>
    <t>LEACHCO INC</t>
  </si>
  <si>
    <t>POLYESTER, COTTON</t>
  </si>
  <si>
    <t>Martha Stewart Collection Essential Full Mattress Pad White Full</t>
  </si>
  <si>
    <t>628961001104</t>
  </si>
  <si>
    <t>Small World Home Breeze 16X24 Polyfilled Pillow Black And White</t>
  </si>
  <si>
    <t>LANE</t>
  </si>
  <si>
    <t>16X24</t>
  </si>
  <si>
    <t>732998744955</t>
  </si>
  <si>
    <t>Martha Stewart Collection Sherpa Throw Coral Throw</t>
  </si>
  <si>
    <t>29927534597</t>
  </si>
  <si>
    <t>Sun Zero Sun Zero Preston 40 x 95 Gro Blush 40x95</t>
  </si>
  <si>
    <t>675716585990</t>
  </si>
  <si>
    <t>Martha Stewart Collection Martha Stewart Soft Fleece Twi Natural Ivory Twin</t>
  </si>
  <si>
    <t>MSFLEECETIV</t>
  </si>
  <si>
    <t>732999832965</t>
  </si>
  <si>
    <t>Martha Stewart Collection Farmstead Floral Patchwork Qui Red Standard Sham</t>
  </si>
  <si>
    <t>100103967ST</t>
  </si>
  <si>
    <t>636202611807</t>
  </si>
  <si>
    <t>Hotel Collection Hotel Collection 525 Thread Co Smoke Standard Pillowcases</t>
  </si>
  <si>
    <t>5M20SPC790</t>
  </si>
  <si>
    <t>21864335749</t>
  </si>
  <si>
    <t>Avanti Riverview Embroidered Hand Tow Nickel</t>
  </si>
  <si>
    <t>038122NKL</t>
  </si>
  <si>
    <t>COTTON, EXCLUSIVE OF EMBELLISHMENT</t>
  </si>
  <si>
    <t>706258050896</t>
  </si>
  <si>
    <t>Charter Club Damask Stripe Supima Cotton 55 Cornflower Medium Blue Standard Pillowcases</t>
  </si>
  <si>
    <t>DLLSTSPCCRN</t>
  </si>
  <si>
    <t>885308317100</t>
  </si>
  <si>
    <t>Eclipse Dots Print 42 x 84 Curtain P Green 42x84</t>
  </si>
  <si>
    <t>12424042X084GRN</t>
  </si>
  <si>
    <t>86569389091</t>
  </si>
  <si>
    <t>JLA Home Decor Studio Santa with Snow G Red ONE SIZE</t>
  </si>
  <si>
    <t>MCH71-2116</t>
  </si>
  <si>
    <t>780870715357</t>
  </si>
  <si>
    <t>PERRIO - FQBCWHT</t>
  </si>
  <si>
    <t>4294FQBCWHT</t>
  </si>
  <si>
    <t>MADE IN PORTUGAL</t>
  </si>
  <si>
    <t>800298716894</t>
  </si>
  <si>
    <t>DKC SILK INDULGENCE</t>
  </si>
  <si>
    <t>2OC001549QDMS</t>
  </si>
  <si>
    <t>90% COTTON/10% SILK</t>
  </si>
  <si>
    <t>732999521685</t>
  </si>
  <si>
    <t>Hotel Collection Hotel Collection Cambria King White King</t>
  </si>
  <si>
    <t>100106836KG</t>
  </si>
  <si>
    <t>689439136704</t>
  </si>
  <si>
    <t>Hotel Collection Lithos King Comforter Grey King</t>
  </si>
  <si>
    <t>100044735KG</t>
  </si>
  <si>
    <t>728455948813</t>
  </si>
  <si>
    <t>M107 PACIFIC TWIN CO</t>
  </si>
  <si>
    <t>M107TCOVDN</t>
  </si>
  <si>
    <t>732998868767</t>
  </si>
  <si>
    <t>Martha Stewart Collection Artisan Sunburst Patchwork Ful Orange FullQueen</t>
  </si>
  <si>
    <t>100084992FQ</t>
  </si>
  <si>
    <t>636193439398</t>
  </si>
  <si>
    <t>680TC FQ DVT WHT BASIC</t>
  </si>
  <si>
    <t>WHT02QD790</t>
  </si>
  <si>
    <t>679610818918</t>
  </si>
  <si>
    <t>Riverbrook Home Riverbrook Home Turin Crinkle Silver Queen</t>
  </si>
  <si>
    <t>728455941289</t>
  </si>
  <si>
    <t>MILAGRO EXTRA SMALL</t>
  </si>
  <si>
    <t>T320XSROBWH</t>
  </si>
  <si>
    <t>XSML</t>
  </si>
  <si>
    <t>840444137784</t>
  </si>
  <si>
    <t>Chic Home Chic Home Hadar 1-Pc. 50 x 60 Gold 50x60</t>
  </si>
  <si>
    <t>TB3778-MC</t>
  </si>
  <si>
    <t>DARKYELLOW</t>
  </si>
  <si>
    <t>CHIC HOME DESIGN LLC</t>
  </si>
  <si>
    <t>3609250783786</t>
  </si>
  <si>
    <t>VEXIN BASIC</t>
  </si>
  <si>
    <t>ANNE DE SOLENE/COLOMBIER HACOT-CONS</t>
  </si>
  <si>
    <t>MADE IN SPAIN</t>
  </si>
  <si>
    <t>706258633518</t>
  </si>
  <si>
    <t>Charter Club Damask Designs Diamond Dot 300 White FullQueen</t>
  </si>
  <si>
    <t>DCF2FQDOTW</t>
  </si>
  <si>
    <t>86569420381</t>
  </si>
  <si>
    <t>Addison Park Adela 9-Pc. King Comforter Set Multi King</t>
  </si>
  <si>
    <t>MCH10-2176</t>
  </si>
  <si>
    <t>608381351577</t>
  </si>
  <si>
    <t>SOLID CK SS ORCH 500 BASIC</t>
  </si>
  <si>
    <t>IVY5KGSS</t>
  </si>
  <si>
    <t>500TC 100% PIMA COTTON</t>
  </si>
  <si>
    <t>608381352086</t>
  </si>
  <si>
    <t>WTE5KGSS</t>
  </si>
  <si>
    <t>608381352109</t>
  </si>
  <si>
    <t>WTE6CKSS</t>
  </si>
  <si>
    <t>706258050766</t>
  </si>
  <si>
    <t>Charter Club Damask Stripe Supima Cotton 55 Smoke Grey Queen</t>
  </si>
  <si>
    <t>DLLSTQNSSMO</t>
  </si>
  <si>
    <t>608381351744</t>
  </si>
  <si>
    <t>ORD4QNSS</t>
  </si>
  <si>
    <t>726895969900</t>
  </si>
  <si>
    <t>Hotel Collection Madison Standard Sham Oatmeal Standard Sham</t>
  </si>
  <si>
    <t>100023632SD</t>
  </si>
  <si>
    <t>LINEN; LACE AND STITCHING: COTTON</t>
  </si>
  <si>
    <t>732996752730</t>
  </si>
  <si>
    <t>FL EMB G TW SS</t>
  </si>
  <si>
    <t>100058713TW</t>
  </si>
  <si>
    <t>608381197991</t>
  </si>
  <si>
    <t>Hotel Collection Trousseau Cotton Quilted Europ White European Sham</t>
  </si>
  <si>
    <t>WE27QE790</t>
  </si>
  <si>
    <t>COTTON/RAYON/POLYESTER</t>
  </si>
  <si>
    <t>689192610138</t>
  </si>
  <si>
    <t>Ella Jayne Super Soft Triple Brushed Micr Silver California King</t>
  </si>
  <si>
    <t>IYSMICRO90SI5</t>
  </si>
  <si>
    <t>195425025636</t>
  </si>
  <si>
    <t>Linenspa Linenspa Signature Plush 2-Pac White King</t>
  </si>
  <si>
    <t>LSSCKK02PLGM</t>
  </si>
  <si>
    <t>848539021901</t>
  </si>
  <si>
    <t>HOLLYWOOD PUMP BASIC</t>
  </si>
  <si>
    <t>10482017458</t>
  </si>
  <si>
    <t>Fresh Ideas All-In-One Bed Zippered Mattre White Queen</t>
  </si>
  <si>
    <t>FRE146XXWHIT03</t>
  </si>
  <si>
    <t>PROTECTOR FABRIC: POLYPROPYLENE/POLYETHYLENE; SIDEWALL: POLYESTER LINED WITH POLYURETHANE</t>
  </si>
  <si>
    <t>810031411634</t>
  </si>
  <si>
    <t>Happycare Textiles Happycare Textiles Rustic Styl Orange NO SIZE</t>
  </si>
  <si>
    <t>BTL17097</t>
  </si>
  <si>
    <t>100% ACRYLIC</t>
  </si>
  <si>
    <t>734737627536</t>
  </si>
  <si>
    <t>T BORDER S</t>
  </si>
  <si>
    <t>PILLOWCASE</t>
  </si>
  <si>
    <t>TED BAKER/SUNHAM HOME FASHIONS</t>
  </si>
  <si>
    <t>732999782987</t>
  </si>
  <si>
    <t>Martha Stewart Collection Gilded Floral Velvet Quilted K Tan King Sham</t>
  </si>
  <si>
    <t>100106016KS</t>
  </si>
  <si>
    <t>706255007237</t>
  </si>
  <si>
    <t>DBG31QKS79</t>
  </si>
  <si>
    <t>810026172205</t>
  </si>
  <si>
    <t>Cheer Collection Cheer Collection 2 Pack Shaggy White 12x20</t>
  </si>
  <si>
    <t>CC-SHGPL2PK12X20-WHT</t>
  </si>
  <si>
    <t>DIGITALPRINTS USA CORP</t>
  </si>
  <si>
    <t>810006713602</t>
  </si>
  <si>
    <t>Enchante Home Enchante Home Signature 8-Pc. Dark Blue ONE SIZE</t>
  </si>
  <si>
    <t>SIGNDENM8W</t>
  </si>
  <si>
    <t>40773077342</t>
  </si>
  <si>
    <t>HP REV RUG 27X48 BASIC</t>
  </si>
  <si>
    <t>HPRV2X3MER</t>
  </si>
  <si>
    <t>HUDSON PARK-EDI/MOHAWK HOME</t>
  </si>
  <si>
    <t>675716999339</t>
  </si>
  <si>
    <t>Madison Park Duke Ribbed 50 x 60 Faux-Fur Blush 50x60</t>
  </si>
  <si>
    <t>MP50-4823</t>
  </si>
  <si>
    <t>BODY: POLYESTER;</t>
  </si>
  <si>
    <t>850015430930</t>
  </si>
  <si>
    <t>FACE MASK BLCK</t>
  </si>
  <si>
    <t>F-SLK-MK-04</t>
  </si>
  <si>
    <t>32281165048</t>
  </si>
  <si>
    <t>Disney Minnie Unicorn Nogginz Set Disney Minnie Unicorn</t>
  </si>
  <si>
    <t>JF16504</t>
  </si>
  <si>
    <t>735732471810</t>
  </si>
  <si>
    <t>VCNY Home Metallic Damask Plush Throw Whitegold 50x60</t>
  </si>
  <si>
    <t>MET-THR-5060-MC-WHTG</t>
  </si>
  <si>
    <t>86569092038</t>
  </si>
  <si>
    <t>JLA Home Dusty The Dino Hooded 25 x 50 Blue ONE SIZE</t>
  </si>
  <si>
    <t>MCH50-763</t>
  </si>
  <si>
    <t>86569091994</t>
  </si>
  <si>
    <t>JLA Home Minette Hooded 25 x 50 Throw Aqua ONE SIZE</t>
  </si>
  <si>
    <t>MCH50-758</t>
  </si>
  <si>
    <t>86569044372</t>
  </si>
  <si>
    <t>JLA Home Urban Dreams Verona Hooded Thr Grey ONE SIZE</t>
  </si>
  <si>
    <t>MCH50-760</t>
  </si>
  <si>
    <t>706254463027</t>
  </si>
  <si>
    <t>Hotel Collection Ultimate MicroCotton 30 x 5 Oat Bath Towels</t>
  </si>
  <si>
    <t>HTLMCBOAT</t>
  </si>
  <si>
    <t>706257386408</t>
  </si>
  <si>
    <t>ASH7STPC</t>
  </si>
  <si>
    <t>732994989183</t>
  </si>
  <si>
    <t>HP SUPIMA BATH</t>
  </si>
  <si>
    <t>HUDSON PARK/TRIDENT</t>
  </si>
  <si>
    <t>86569287564</t>
  </si>
  <si>
    <t>JLA Home HOODED THROWS Blue Standard</t>
  </si>
  <si>
    <t>MCH50-1615</t>
  </si>
  <si>
    <t>850015430909</t>
  </si>
  <si>
    <t>FACE MASK BLUSH</t>
  </si>
  <si>
    <t>F-SLK-MK-01</t>
  </si>
  <si>
    <t>850018905800</t>
  </si>
  <si>
    <t>FACE MASK NVY</t>
  </si>
  <si>
    <t>F-SLK-MK-07</t>
  </si>
  <si>
    <t>728455234497</t>
  </si>
  <si>
    <t>PEARL BASIC</t>
  </si>
  <si>
    <t>091FQCOVAD</t>
  </si>
  <si>
    <t>100% EGYPTIAN COTTON WOVEN IN ITALY</t>
  </si>
  <si>
    <t>732996047881</t>
  </si>
  <si>
    <t>Hotel Collection Metallic Stone FullQueen Comf Gold FullQueen</t>
  </si>
  <si>
    <t>100051651FQ</t>
  </si>
  <si>
    <t>POLYESTER / RAYON; COTTON BACK</t>
  </si>
  <si>
    <t>846339042591</t>
  </si>
  <si>
    <t>J Queen New York J Queen New York Marquis Queen Cream Queen</t>
  </si>
  <si>
    <t>1519002FQDVS</t>
  </si>
  <si>
    <t>705004423229</t>
  </si>
  <si>
    <t>LEXINGTON LED MIRROR</t>
  </si>
  <si>
    <t>SLVAR410</t>
  </si>
  <si>
    <t>ZADRO PRODUCTS</t>
  </si>
  <si>
    <t>SATIN NICKEL-FINISH METAL; GLASS; PLASTIC; ELECTRONICS</t>
  </si>
  <si>
    <t>732995895490</t>
  </si>
  <si>
    <t>Hotel Collection Metallic Stone FullQueen Cove Gold FullQueen</t>
  </si>
  <si>
    <t>100041575QN</t>
  </si>
  <si>
    <t>POLYESTER/RAYON; REVERSES TO COTTON/POLYESTER</t>
  </si>
  <si>
    <t>733001365815</t>
  </si>
  <si>
    <t>Martha Stewart Collection LAST ACT Medallion Tufted Vel Burgundy FullQueen</t>
  </si>
  <si>
    <t>86569351012</t>
  </si>
  <si>
    <t>Addison Park Sahara 14pc Comforter Set Black Queen</t>
  </si>
  <si>
    <t>MCH10-1720</t>
  </si>
  <si>
    <t>86569096913</t>
  </si>
  <si>
    <t>Beautyrest Beautyrest Deluxe 18lb Quilted White 60x70</t>
  </si>
  <si>
    <t>BR51N-0933</t>
  </si>
  <si>
    <t>COVER:COTTON 233 THREAD COUNT; INSERT: POLYESTER AND BEADS</t>
  </si>
  <si>
    <t>800298683585</t>
  </si>
  <si>
    <t>2OC001549AMF</t>
  </si>
  <si>
    <t>KGJUMBOFIT</t>
  </si>
  <si>
    <t>90% COTTON/ 10% SILK</t>
  </si>
  <si>
    <t>800298683578</t>
  </si>
  <si>
    <t>2OC001549AMA</t>
  </si>
  <si>
    <t>732999186310</t>
  </si>
  <si>
    <t>Charter Club Damask Designs Woven Tile 3-Pc Grey FullQueen</t>
  </si>
  <si>
    <t>100082939FQ</t>
  </si>
  <si>
    <t>732995840605</t>
  </si>
  <si>
    <t>Charter Club Sleep Luxe Cotton 800-Thread C Paisley Blue FullQueen</t>
  </si>
  <si>
    <t>100038754FQ</t>
  </si>
  <si>
    <t>732997451984</t>
  </si>
  <si>
    <t>Martha Stewart Collection Holiday Patchwork FullQueen Q Red FullQueen</t>
  </si>
  <si>
    <t>100064583FQ</t>
  </si>
  <si>
    <t>726895164213</t>
  </si>
  <si>
    <t>Martha Stewart Collection Stenciled Leaves FullQueen Qu White FullQueen</t>
  </si>
  <si>
    <t>100037784FQ</t>
  </si>
  <si>
    <t>672225323617</t>
  </si>
  <si>
    <t>Luxlen Luxlen Kastner 7 Piece Comfort Teal Queen</t>
  </si>
  <si>
    <t>P-21201-Q</t>
  </si>
  <si>
    <t>QNCOMFORTE</t>
  </si>
  <si>
    <t>LUXLEN LLC</t>
  </si>
  <si>
    <t>706258089049</t>
  </si>
  <si>
    <t>Charter Club Damask Stripe Supima Cotton 55 Navy King</t>
  </si>
  <si>
    <t>DLDSTKDSNVY</t>
  </si>
  <si>
    <t>86569279668</t>
  </si>
  <si>
    <t>Addison Park Aubrey California King 9-Pc. C Navy California King</t>
  </si>
  <si>
    <t>MCH10-1566</t>
  </si>
  <si>
    <t>734737549692</t>
  </si>
  <si>
    <t>Martha Stewart Collection Clip Jacquard 3-Pc. FullQueen Pink FullQueen</t>
  </si>
  <si>
    <t>CLPJQPKFQ</t>
  </si>
  <si>
    <t>MMG-MARTHA STEWART-EDI/SUNHAM HOME</t>
  </si>
  <si>
    <t>FABRIC: 100% COTTON; POLYESTER FILL (270 GSM COMFORTER)</t>
  </si>
  <si>
    <t>675716836894</t>
  </si>
  <si>
    <t>Beautyrest Duke Faux-Fur Electric Throw Black Throw</t>
  </si>
  <si>
    <t>BR50-0750</t>
  </si>
  <si>
    <t>FAUX-FUR FACE: POLYESTER 300 GRAMS PER SQUARE METER; FAUX-FUR REVERSE: POLYESTER 260 GRAMS PER SQUARE METER</t>
  </si>
  <si>
    <t>848342012721</t>
  </si>
  <si>
    <t>Lotus Home Lotus Home Water and Stain Res Silver King</t>
  </si>
  <si>
    <t>COTTONLOFT/EPOCH HOMETEX INC</t>
  </si>
  <si>
    <t>POLYESTER MICROFIBER WITH POLYESTER FIBER FILL</t>
  </si>
  <si>
    <t>732994531290</t>
  </si>
  <si>
    <t>HP MODAL S/M</t>
  </si>
  <si>
    <t>800298683608</t>
  </si>
  <si>
    <t>2OC001549ARA</t>
  </si>
  <si>
    <t>COTTON/SILK</t>
  </si>
  <si>
    <t>732999126965</t>
  </si>
  <si>
    <t>Martha Stewart Collection Vintage Folklore FullQueen Qu Blue FullQueen</t>
  </si>
  <si>
    <t>100079760FQ</t>
  </si>
  <si>
    <t>841700208545</t>
  </si>
  <si>
    <t>Dream Theory Dream Theory 15 lbs Faux Mink Light Tan 48X72</t>
  </si>
  <si>
    <t>DT-WBMM-TA15</t>
  </si>
  <si>
    <t>DREAM THEORY/SUTTON HOME FASHIONS</t>
  </si>
  <si>
    <t>750105138664</t>
  </si>
  <si>
    <t>Charter Club Medium Firm StandardQueen Dow White StandardQueen</t>
  </si>
  <si>
    <t>FEDP0850WQ</t>
  </si>
  <si>
    <t>657812152658</t>
  </si>
  <si>
    <t>Biddeford Quilted Electric Queen Mattres White Queen</t>
  </si>
  <si>
    <t>5252-5032121-100</t>
  </si>
  <si>
    <t>628961002378</t>
  </si>
  <si>
    <t>Kensington Garden Dover King Cotton Rich Cool Co White King</t>
  </si>
  <si>
    <t>JET9820</t>
  </si>
  <si>
    <t>697182506781</t>
  </si>
  <si>
    <t>Paradigm Paradigm Regal Bead Lotion Pum Silver</t>
  </si>
  <si>
    <t>50676C</t>
  </si>
  <si>
    <t>PARADIGM TRENDS</t>
  </si>
  <si>
    <t>672225323983</t>
  </si>
  <si>
    <t>Luxlen Luxlen Microfiber Blanket with Black Queen</t>
  </si>
  <si>
    <t>MF2SATIN-Q</t>
  </si>
  <si>
    <t>MICROFIBER, POLYESTER</t>
  </si>
  <si>
    <t>675716575786</t>
  </si>
  <si>
    <t>Intelligent Design Nadia 5-Pc. FullQueen Duvet C Teal FullQueen</t>
  </si>
  <si>
    <t>ID12-229</t>
  </si>
  <si>
    <t>FABRIC: POLYESTER; PILLOW FILL: POLYESTER</t>
  </si>
  <si>
    <t>697182506798</t>
  </si>
  <si>
    <t>Paradigm Paradigm Regal Bead Jar Silver</t>
  </si>
  <si>
    <t>50676D</t>
  </si>
  <si>
    <t>840970154910</t>
  </si>
  <si>
    <t>Cathay Home Inc. Oversize Lightweight Quilt Set Light Blue KingCalifornia King</t>
  </si>
  <si>
    <t>918915-KCK</t>
  </si>
  <si>
    <t>651896639944</t>
  </si>
  <si>
    <t>Morgan Home Shannon 3pc FullQueen Comfort Taupe FullQueen</t>
  </si>
  <si>
    <t>M639944</t>
  </si>
  <si>
    <t>671826972194</t>
  </si>
  <si>
    <t>Siscovers Siscovers Downy Mocha 20 Desi Dk Brwn</t>
  </si>
  <si>
    <t>DOMO-P20</t>
  </si>
  <si>
    <t>SADDLE</t>
  </si>
  <si>
    <t>734737637153</t>
  </si>
  <si>
    <t>Sunham Erin 12-Pc. Queen Comforter Se Blue Queen</t>
  </si>
  <si>
    <t>840970151612</t>
  </si>
  <si>
    <t>Hudson Main Clover Ruched Ultrasilk King S Pink King</t>
  </si>
  <si>
    <t>HMSS4-004-K</t>
  </si>
  <si>
    <t>732996249988</t>
  </si>
  <si>
    <t>Charter Club 360 Down Chamber 325-Thread Co White King</t>
  </si>
  <si>
    <t>100069643KG</t>
  </si>
  <si>
    <t>734737558311</t>
  </si>
  <si>
    <t>Fairfield Square Collection Austin 8-Pc. Reversible Comfor Taupe Twin</t>
  </si>
  <si>
    <t>810031411078</t>
  </si>
  <si>
    <t>Battilo Battilo Knit Zig Zag Textured White NO SIZE</t>
  </si>
  <si>
    <t>BTL15025S</t>
  </si>
  <si>
    <t>POLYESTER, ACRYLIC</t>
  </si>
  <si>
    <t>810031411085</t>
  </si>
  <si>
    <t>Battilo Battilo Knit Zig Zag Textured Beige NO SIZE</t>
  </si>
  <si>
    <t>733001365839</t>
  </si>
  <si>
    <t>Martha Stewart Collection LAST ACT Medallion Tufted Vel Burgundy King Sham</t>
  </si>
  <si>
    <t>100106021KS</t>
  </si>
  <si>
    <t>706255403626</t>
  </si>
  <si>
    <t>Martha Stewart Collection Martha Stewart Collection Piqu Vanilla Full</t>
  </si>
  <si>
    <t>SPQFBSV822</t>
  </si>
  <si>
    <t>MARTHA STEWART-EDI/PAC-FUNG FEATHER</t>
  </si>
  <si>
    <t>735732396984</t>
  </si>
  <si>
    <t>VCNY Home Yara Reversible 3-Pc. FullQue Multi FullQueen</t>
  </si>
  <si>
    <t>YAA-3QT-FUQU-IN-MULT</t>
  </si>
  <si>
    <t>610406819887</t>
  </si>
  <si>
    <t>Homey Cozy Homey Cozy Mia Cotton Square D Yellow 20x20</t>
  </si>
  <si>
    <t>81043-18-SUNSHINE</t>
  </si>
  <si>
    <t>706258615569</t>
  </si>
  <si>
    <t>Martha Stewart Collection Essentials Classic Quilted Kin White King</t>
  </si>
  <si>
    <t>100058088KG</t>
  </si>
  <si>
    <t>31374564102</t>
  </si>
  <si>
    <t>Martha Stewart Collection Essentials 7-Zone Twin Memory White Twin</t>
  </si>
  <si>
    <t>10012212TW</t>
  </si>
  <si>
    <t>POLYURETHANE FOAM</t>
  </si>
  <si>
    <t>91116725536</t>
  </si>
  <si>
    <t>Sanders Holiday 5-Pc. Full Sheet Set w Neve Full</t>
  </si>
  <si>
    <t>HDYSS2F</t>
  </si>
  <si>
    <t>32281245993</t>
  </si>
  <si>
    <t>Disney Disney Pillow Buddy Disney Frozen Olaf Standard</t>
  </si>
  <si>
    <t>JF24599</t>
  </si>
  <si>
    <t>726895164251</t>
  </si>
  <si>
    <t>Martha Stewart Collection Stenciled Leaves Standard Sham White Standard Sham</t>
  </si>
  <si>
    <t>791551525837</t>
  </si>
  <si>
    <t>Berkshire Berkshire Classic Velvety Plus Humus FullQueen</t>
  </si>
  <si>
    <t>13841-FQ-52T</t>
  </si>
  <si>
    <t>42694347313</t>
  </si>
  <si>
    <t>Charter Club Classic Bath Rug Cc Classic 21X34 21 x 34</t>
  </si>
  <si>
    <t>CSOLD2X3CH</t>
  </si>
  <si>
    <t>732996037103</t>
  </si>
  <si>
    <t>Martha Stewart Collection 2-Pc. Noodle Rug Set Grey</t>
  </si>
  <si>
    <t>ESSENTIAL MARTHA/EDI/FAZE THREE</t>
  </si>
  <si>
    <t>FABRIC: POLYESTER; REVERSE TO LATEX</t>
  </si>
  <si>
    <t>814945026267</t>
  </si>
  <si>
    <t>De Moocci Microfiber Tailored Bed-Skirt Cream Queen</t>
  </si>
  <si>
    <t>1706TBS-CRM-Q</t>
  </si>
  <si>
    <t>DE MOOCCI/ORIENT HOME COLLECTION</t>
  </si>
  <si>
    <t>706254463072</t>
  </si>
  <si>
    <t>Hotel Collection Ultimate MicroCotton 30 x 5 Midnight Bath Towels</t>
  </si>
  <si>
    <t>HTLMCBMDN</t>
  </si>
  <si>
    <t>732999361342</t>
  </si>
  <si>
    <t>Charter Club Sleep Luxe Cotton 800-Thread C Petal European Sham</t>
  </si>
  <si>
    <t>100077710ER</t>
  </si>
  <si>
    <t>732994989138</t>
  </si>
  <si>
    <t>733001245940</t>
  </si>
  <si>
    <t>Martha Stewart Collection Dot Lattice 30 x 54 Bath Tow Frozen Pond Bath Towels</t>
  </si>
  <si>
    <t>706254464376</t>
  </si>
  <si>
    <t>Hotel Collection Ultimate MicroCotton 13 x 13 White Washcloths</t>
  </si>
  <si>
    <t>HTLMCWWHT</t>
  </si>
  <si>
    <t>193842114131</t>
  </si>
  <si>
    <t>J Queen New York J Queen New York Jordan King C Brown King</t>
  </si>
  <si>
    <t>2623043KCS</t>
  </si>
  <si>
    <t>810013412420</t>
  </si>
  <si>
    <t>Sealy Cool Gel Memory Foam Pillow White</t>
  </si>
  <si>
    <t>F01-00605-ST0</t>
  </si>
  <si>
    <t>MADE IN THE USA OF US AND IMPORTED PARTS</t>
  </si>
  <si>
    <t>OUTER COVER: POLYESTER/SPANDEX; FILL: MEMORY FOAM</t>
  </si>
  <si>
    <t>38992941360</t>
  </si>
  <si>
    <t>Waterford Waterford Millie Damask Velvet Ivory KingCalifornia King</t>
  </si>
  <si>
    <t>3QMILIW10207KC</t>
  </si>
  <si>
    <t>783048110817</t>
  </si>
  <si>
    <t>MEDICI</t>
  </si>
  <si>
    <t>CS3265QN-1500</t>
  </si>
  <si>
    <t>732998347705</t>
  </si>
  <si>
    <t>Martha Stewart Collection Ivory Pucker Damask 14-Pc. Que Blue Queen</t>
  </si>
  <si>
    <t>100089180QN</t>
  </si>
  <si>
    <t>732999983810</t>
  </si>
  <si>
    <t>Hotel Collection Leaflet FullQueen Comforter, Gold FullQueen</t>
  </si>
  <si>
    <t>100090175FQ</t>
  </si>
  <si>
    <t>848742088999</t>
  </si>
  <si>
    <t>Lush Decor Aubree 3-Piece Reversible King Navy King</t>
  </si>
  <si>
    <t>16T004963</t>
  </si>
  <si>
    <t>732999594344</t>
  </si>
  <si>
    <t>Charter Club Pima Cotton 1000-Thread Count White King</t>
  </si>
  <si>
    <t>100086008KG</t>
  </si>
  <si>
    <t>INDOCOUNT/MMG-CHARTER CLUB</t>
  </si>
  <si>
    <t>86569107206</t>
  </si>
  <si>
    <t>Beautyrest Beautyrest Luxury 18lb Quilted Grey 60x70</t>
  </si>
  <si>
    <t>BR51-0935</t>
  </si>
  <si>
    <t>COVER: POLYESTER MINK, DIAMOND QUILTING, ZIPPER CLOSURE; INSERT: POLYESTER AND BEADS</t>
  </si>
  <si>
    <t>732999785032</t>
  </si>
  <si>
    <t>Hotel Collection 300-Thread Count King Down-Alt White King</t>
  </si>
  <si>
    <t>100105537KG</t>
  </si>
  <si>
    <t>750105138671</t>
  </si>
  <si>
    <t>Charter Club Medium Firm King Down Pillow White King</t>
  </si>
  <si>
    <t>FEDP0850WK</t>
  </si>
  <si>
    <t>849928035363</t>
  </si>
  <si>
    <t>Ottomanson Ottomanson Scrape Rib Design N Red</t>
  </si>
  <si>
    <t>SRT703-13</t>
  </si>
  <si>
    <t>OTTOMANSON INC</t>
  </si>
  <si>
    <t>788904801922</t>
  </si>
  <si>
    <t>Serta Light Warm White Goose Feathe White FullQueen</t>
  </si>
  <si>
    <t>SE003022</t>
  </si>
  <si>
    <t>766195315304</t>
  </si>
  <si>
    <t>Tommy Hilfiger Tommy Hilfiger Solid Core King Dark Blue King</t>
  </si>
  <si>
    <t>TH0949</t>
  </si>
  <si>
    <t>81806481118</t>
  </si>
  <si>
    <t>Martha Stewart Collection Premium Zip Off Queen Mattress White Queen</t>
  </si>
  <si>
    <t>100041741QN</t>
  </si>
  <si>
    <t>SHELL: 100% COTTON; THREAD COUNT: 350; 14-OZ. HYPOALLERGENIC POLYESTER FILL</t>
  </si>
  <si>
    <t>734737615618</t>
  </si>
  <si>
    <t>Sunham Ashford 1500-Thread Count 4-Pc White King</t>
  </si>
  <si>
    <t>86569185952</t>
  </si>
  <si>
    <t>Cedar Rose Zinnia 8-Pc. Quilted King Comf Multi King</t>
  </si>
  <si>
    <t>HG10-650</t>
  </si>
  <si>
    <t>788904216320</t>
  </si>
  <si>
    <t>Kathy Ireland Kathy Ireland Home Essentials Platinum King</t>
  </si>
  <si>
    <t>KI175012</t>
  </si>
  <si>
    <t>651866099259</t>
  </si>
  <si>
    <t>Therapy Threapy Home Weighted Comfort Taupe ONE SIZE</t>
  </si>
  <si>
    <t>WB487212TAUPE</t>
  </si>
  <si>
    <t>783048024169</t>
  </si>
  <si>
    <t>Truly Soft Truly Soft Everyday Red and Gr Blush And Lavender King</t>
  </si>
  <si>
    <t>CS1656BLKG-17</t>
  </si>
  <si>
    <t>733001041092</t>
  </si>
  <si>
    <t>Martha Stewart Collection Printed Cotton Flannel 4-Pc. Q Ditsy Floral Queen</t>
  </si>
  <si>
    <t>100094881QN</t>
  </si>
  <si>
    <t>191790041400</t>
  </si>
  <si>
    <t>AQ Textiles Camden Sateen 1250-Thread Coun Ivory King</t>
  </si>
  <si>
    <t>25552104003AQT</t>
  </si>
  <si>
    <t>96675173040</t>
  </si>
  <si>
    <t>SensorGel CoolFusion SensorElle Memory F White King</t>
  </si>
  <si>
    <t>734737422957</t>
  </si>
  <si>
    <t>Fairfield Square Collection Austin 8-Pc. Reversible Comfor Red Queen</t>
  </si>
  <si>
    <t>15977229V</t>
  </si>
  <si>
    <t>734737635609</t>
  </si>
  <si>
    <t>Fairfield Square Collection GTHM blkwht FULL CS Blackwhite Full</t>
  </si>
  <si>
    <t>788904025090</t>
  </si>
  <si>
    <t>Blue Ridge 700 Thread Count Down Alternat Indigo FullQueen</t>
  </si>
  <si>
    <t>883893365735</t>
  </si>
  <si>
    <t>Nautica Audley Twin Extra Long Sheet S Blue Twin XL</t>
  </si>
  <si>
    <t>732997260098</t>
  </si>
  <si>
    <t>Hotel Collection Hotel Collection Italian Perca Champagne European Sham</t>
  </si>
  <si>
    <t>100068763ER</t>
  </si>
  <si>
    <t>42694347733</t>
  </si>
  <si>
    <t>Charter Club Classic Bath Rug Cc Classic 25.5X44 25.5 x 44</t>
  </si>
  <si>
    <t>CSOLD2X4LN</t>
  </si>
  <si>
    <t>732996250014</t>
  </si>
  <si>
    <t>Charter Club 360 Down Chamber Soft Standard White Standard</t>
  </si>
  <si>
    <t>100069245SQ</t>
  </si>
  <si>
    <t>86569896742</t>
  </si>
  <si>
    <t>Madison Park Edina 20 Square Faux-Fur Deco Ivory 20x20</t>
  </si>
  <si>
    <t>MP30-4830</t>
  </si>
  <si>
    <t>FAUX-FUR FACE: ACRYLIC/POLYESTER; FAUX-FUR REVERSE: POLYESTER; FEATHER/DOWN FILL</t>
  </si>
  <si>
    <t>788904135768</t>
  </si>
  <si>
    <t>Royal Luxe Royal Luxe Microfiber Color Do Medium Blue FullQueen</t>
  </si>
  <si>
    <t>706258615118</t>
  </si>
  <si>
    <t>Martha Stewart Collection Essentials Classic Quilted Cal White California King</t>
  </si>
  <si>
    <t>100058088CK</t>
  </si>
  <si>
    <t>706258471486</t>
  </si>
  <si>
    <t>Hotel Collection Turkish 30 x 56 Bath Towel Shiraz Bath Towels</t>
  </si>
  <si>
    <t>HTLTURBSHZ</t>
  </si>
  <si>
    <t>732996250021</t>
  </si>
  <si>
    <t>Charter Club Superluxe 300-Thread Count Fir White King</t>
  </si>
  <si>
    <t>100069290KG</t>
  </si>
  <si>
    <t>732999837649</t>
  </si>
  <si>
    <t>Martha Stewart Collection Carved Sherpa Throw Created F Burgundy Throw</t>
  </si>
  <si>
    <t>810030873709</t>
  </si>
  <si>
    <t>New Sega Solid Reversible BlueYellow 3 BlueRed FullQueen</t>
  </si>
  <si>
    <t>NS659NR13</t>
  </si>
  <si>
    <t>29927474077</t>
  </si>
  <si>
    <t>Sun Zero Sun Zero Grant 54 x 72 Door Stone 54x72</t>
  </si>
  <si>
    <t>29927509724</t>
  </si>
  <si>
    <t>Sun Zero Sun Zero Grant 54 x 18 Valan Grey 54x18</t>
  </si>
  <si>
    <t>29927259063</t>
  </si>
  <si>
    <t>No. 918 No. 918 Crushed Sheer Voile 51 Purple 51x24</t>
  </si>
  <si>
    <t>651896642838</t>
  </si>
  <si>
    <t>Morgan Home LAST ACT Holiday Print Plush Deck The Halls No Size</t>
  </si>
  <si>
    <t>M642838</t>
  </si>
  <si>
    <t>733001335139</t>
  </si>
  <si>
    <t>Charter Club Damask Designs 550-Thread Coun Poppy Standard Pillowcases</t>
  </si>
  <si>
    <t>100108502SP</t>
  </si>
  <si>
    <t>96675510449</t>
  </si>
  <si>
    <t>SensorPEDIC Dobby Stripe Pillow White Standard</t>
  </si>
  <si>
    <t>732999788156</t>
  </si>
  <si>
    <t>Charter Club Egyptian Cotton 16 x 30 Hand Pale Hydrangea Hand Towels</t>
  </si>
  <si>
    <t>96675638242</t>
  </si>
  <si>
    <t>SensorGel Luxury iCOOL 3 Gel-Infused Me White King</t>
  </si>
  <si>
    <t>FABRIC: NYLON 320 GRAMS PER SQUARE METER; FILL: GEL-INFUSED MEMORY FOAM</t>
  </si>
  <si>
    <t>735837574256</t>
  </si>
  <si>
    <t>HWGDKM13</t>
  </si>
  <si>
    <t>190945065230</t>
  </si>
  <si>
    <t>Levtex Levtex Home Red Snowflake Sher Red King</t>
  </si>
  <si>
    <t>L15132LKS</t>
  </si>
  <si>
    <t>732999785056</t>
  </si>
  <si>
    <t>Hotel Collection Feather Core Down Surround Fir White Standard</t>
  </si>
  <si>
    <t>100105539SQ</t>
  </si>
  <si>
    <t>735837574249</t>
  </si>
  <si>
    <t>Hotel Collection European White Goose Down Medi White Standard</t>
  </si>
  <si>
    <t>HWGDJM12</t>
  </si>
  <si>
    <t>732995559453</t>
  </si>
  <si>
    <t>Charter Club Damask Designs Basket Stripe 3 White King</t>
  </si>
  <si>
    <t>100045794KG</t>
  </si>
  <si>
    <t>SHELL: COTTON; THREAD COUNT: 155 (FRONT)/140 (BACK); POLYESTER FILL</t>
  </si>
  <si>
    <t>657812157240</t>
  </si>
  <si>
    <t>Biddeford Microplush Electric Queen Blan Cream Queen</t>
  </si>
  <si>
    <t>2023-905291702J</t>
  </si>
  <si>
    <t>883893635791</t>
  </si>
  <si>
    <t>Novogratz Collection Millie Twin Quilt Set Blush Twin</t>
  </si>
  <si>
    <t>USHSA91127768</t>
  </si>
  <si>
    <t>NOVOGRATZ/REVMAN INTERNATIONAL INC</t>
  </si>
  <si>
    <t>810026171062</t>
  </si>
  <si>
    <t>Cheer Collection Hypoallergenic Luxury Mattress White Queen</t>
  </si>
  <si>
    <t>CC-ADMTLX-QN</t>
  </si>
  <si>
    <t>706258050841</t>
  </si>
  <si>
    <t>Charter Club Damask Stripe Supima Cotton 55 Cotton Candy Light Pink Queen</t>
  </si>
  <si>
    <t>DLLSTQNSCTN</t>
  </si>
  <si>
    <t>784851506255</t>
  </si>
  <si>
    <t>Elegant Comfort Elegant Comfort Premium Qualit Brown Queen</t>
  </si>
  <si>
    <t>SHERPA COMFORTERQUEE</t>
  </si>
  <si>
    <t>86569099778</t>
  </si>
  <si>
    <t>Hotel Collection Egyptian Cotton King Blanket Mist King</t>
  </si>
  <si>
    <t>10028634KG</t>
  </si>
  <si>
    <t>HOTEL COLLECTION-EDI/JLA HOME</t>
  </si>
  <si>
    <t>783048109644</t>
  </si>
  <si>
    <t>Cottage Classics Cottage Classics Estate Bloom Blue King</t>
  </si>
  <si>
    <t>CS3244KG-1500</t>
  </si>
  <si>
    <t>636206071737</t>
  </si>
  <si>
    <t>Hotel Collection Dimensional 8 x 20 Decorativ Grey</t>
  </si>
  <si>
    <t>689192617137</t>
  </si>
  <si>
    <t>Ella Jayne Reversible Brushed Microfiber Charcoal Twin</t>
  </si>
  <si>
    <t>EJHCFSTREVCNT</t>
  </si>
  <si>
    <t>675716760168</t>
  </si>
  <si>
    <t>Madison Park Zuri Reversible Oversized 96 Tan Throw</t>
  </si>
  <si>
    <t>MP50-2918</t>
  </si>
  <si>
    <t>650327387799</t>
  </si>
  <si>
    <t>EnvioHome Seersucker Stripe 3-Piece Full Gold FullQueen</t>
  </si>
  <si>
    <t>SS87799-US</t>
  </si>
  <si>
    <t>SLEEPWORLD INTERNATIONAL LLC</t>
  </si>
  <si>
    <t>733001843696</t>
  </si>
  <si>
    <t>Charter Club Amara Cotton 300-Thread Count Navy FullQueen</t>
  </si>
  <si>
    <t>100115575FQ</t>
  </si>
  <si>
    <t>96675700819</t>
  </si>
  <si>
    <t>SensorGel Cool Coat Arctic Gusset Gel In White Standard</t>
  </si>
  <si>
    <t>842933164981</t>
  </si>
  <si>
    <t>ienjoy Home Lucid Dreams Patterned Duvet C Blue Garden KingCalifornia King</t>
  </si>
  <si>
    <t>DUVGARKIENJ</t>
  </si>
  <si>
    <t>MICROFIBER/POLYESTER</t>
  </si>
  <si>
    <t>842933164806</t>
  </si>
  <si>
    <t>ienjoy Home Lucid Dreams Patterned Duvet C Grey Chevron KingCalifornia King</t>
  </si>
  <si>
    <t>DUVACHKIENJ</t>
  </si>
  <si>
    <t>636206978524</t>
  </si>
  <si>
    <t>Martha Stewart Collection Solid Hem Cotton 325-Thread Co Pom Blue Twin</t>
  </si>
  <si>
    <t>SDTWSPOMBL</t>
  </si>
  <si>
    <t>842933135677</t>
  </si>
  <si>
    <t>ienjoy Home Home Collection Premium Ultra Ivory King</t>
  </si>
  <si>
    <t>DUVSLDKIENJ</t>
  </si>
  <si>
    <t>816651022311</t>
  </si>
  <si>
    <t>ienjoy Home The Timeless Classics by Home Navy Soft Polka Dots Queen</t>
  </si>
  <si>
    <t>4PPOKAQIENJ</t>
  </si>
  <si>
    <t>816651022762</t>
  </si>
  <si>
    <t>ienjoy Home The Timeless Classics by Home Aqua Soft Vines Queen</t>
  </si>
  <si>
    <t>4PVINEQIENJ</t>
  </si>
  <si>
    <t>816651021741</t>
  </si>
  <si>
    <t>ienjoy Home Elegant Designs Patterned Duve Gray Ribbon FullQueen</t>
  </si>
  <si>
    <t>DUVRIBBQIENJ</t>
  </si>
  <si>
    <t>819352022307</t>
  </si>
  <si>
    <t>Elegant Comfort Elegant Comfort 4-Piece Luxury Black Queen</t>
  </si>
  <si>
    <t>Q-BLACK</t>
  </si>
  <si>
    <t>816651021857</t>
  </si>
  <si>
    <t>ienjoy Home Elegant Designs Patterned Duve Grey Thatch TwinTwin XL</t>
  </si>
  <si>
    <t>DUVTHATTIENJ</t>
  </si>
  <si>
    <t>735732189876</t>
  </si>
  <si>
    <t>VCNY Home VCNY Home Casa Real Reversibl Multi FullQueen</t>
  </si>
  <si>
    <t>C10-5DV-FUQU-IN-MULT</t>
  </si>
  <si>
    <t>675716716400</t>
  </si>
  <si>
    <t>Madison Park Bernard 2-Pc. TwinTwin XL Com Red TwinTwin XL</t>
  </si>
  <si>
    <t>BASI10-0398</t>
  </si>
  <si>
    <t>819254025765</t>
  </si>
  <si>
    <t>New Sega New Sega Home Ultra Down Alter Red FullQueen</t>
  </si>
  <si>
    <t>NS50113</t>
  </si>
  <si>
    <t>100% POLYESTER MICRO-FIBER 90GSM</t>
  </si>
  <si>
    <t>732997375419</t>
  </si>
  <si>
    <t>Martha Stewart Collection Tree Figural Decorative Pillow Red 18x14</t>
  </si>
  <si>
    <t>SHELL BASE: COTTON; DECORATIVE THREAD: RAYON/OTHER FIBER; FILLING: POLYESTER</t>
  </si>
  <si>
    <t>883893509207</t>
  </si>
  <si>
    <t>Eddie Bauer Cabin Plaid Sherpa Throw Black 50x60</t>
  </si>
  <si>
    <t>FACE: COTTON; REVERSE: POLYESTER</t>
  </si>
  <si>
    <t>81492269304</t>
  </si>
  <si>
    <t>Interdesign Zeno Stripe 72 x 84 Shower C BlackWhite</t>
  </si>
  <si>
    <t>INTERDESIGN INC</t>
  </si>
  <si>
    <t>733001259497</t>
  </si>
  <si>
    <t>Martha Stewart Collection Plush Bath Robe Blue ONE SIZE</t>
  </si>
  <si>
    <t>608381522533</t>
  </si>
  <si>
    <t>Martha Stewart Collection Martha Stewart Collection 300 Ivory Full Fitted</t>
  </si>
  <si>
    <t>300FFT822IV</t>
  </si>
  <si>
    <t>RFBOTTOMFT</t>
  </si>
  <si>
    <t>86569928382</t>
  </si>
  <si>
    <t>Madison Park Clay 3-Pc. FullQueen Duvet Co Grey FullQueen</t>
  </si>
  <si>
    <t>MPE12-655</t>
  </si>
  <si>
    <t>190714377465</t>
  </si>
  <si>
    <t>Lacourte Family Forever 14 x 30 Decor Natural</t>
  </si>
  <si>
    <t>1127908NAT14X30</t>
  </si>
  <si>
    <t>29927550863</t>
  </si>
  <si>
    <t>Sun Zero Oslo 52 x 63 Theater Grade E Grey 52x63</t>
  </si>
  <si>
    <t>746885368735</t>
  </si>
  <si>
    <t>Miller Curtains Miller Curtains Preston 48 x Taupe 48x216</t>
  </si>
  <si>
    <t>WC703444076216</t>
  </si>
  <si>
    <t>NATCO/WINDHAM WEAVE/WINDHAM TRADING</t>
  </si>
  <si>
    <t>739550350067</t>
  </si>
  <si>
    <t>Elrene SunVeil Vanderbilt Beaded Wate Gold 42x22</t>
  </si>
  <si>
    <t>96169GLD</t>
  </si>
  <si>
    <t>11 PLT SGL</t>
  </si>
  <si>
    <t>ELRENE HOME FASHIONS</t>
  </si>
  <si>
    <t>29927536621</t>
  </si>
  <si>
    <t>Sun Zero Saki Shibori Print 40 x 84 B Navy 40x84</t>
  </si>
  <si>
    <t>40X84/7</t>
  </si>
  <si>
    <t>788904130657</t>
  </si>
  <si>
    <t>Royal Luxe Royal Luxe Microfiber Color Do White Twin</t>
  </si>
  <si>
    <t>706258615880</t>
  </si>
  <si>
    <t>Martha Stewart Collection Essentials Quilted Waterproof White Queen</t>
  </si>
  <si>
    <t>100058089QN</t>
  </si>
  <si>
    <t>29927517446</t>
  </si>
  <si>
    <t>Sun Zero Preston 40 x 84 Blackout Rod Blush 40x84</t>
  </si>
  <si>
    <t>734737615038</t>
  </si>
  <si>
    <t>Lacoste Herringbone Cotton 30 x 54 B Meteorite Bath Towels</t>
  </si>
  <si>
    <t>T20788N4633054</t>
  </si>
  <si>
    <t>732995511154</t>
  </si>
  <si>
    <t>Martha Stewart Collection Lush Embroidery Quilted Standa Blue Standard Sham</t>
  </si>
  <si>
    <t>LUSHEMIVST</t>
  </si>
  <si>
    <t>25695980949</t>
  </si>
  <si>
    <t>Calvin Klein 2-Pk. Scattered Logo Wave 230- Wave Blue Standard</t>
  </si>
  <si>
    <t>CALVIN KLEIN/PACIFIC COAST(711/428)</t>
  </si>
  <si>
    <t>86569930583</t>
  </si>
  <si>
    <t>JLA Home Hotel Glass Lotion Pump, Creat Lotion Dispenser</t>
  </si>
  <si>
    <t>MCH71-484</t>
  </si>
  <si>
    <t>734737632967</t>
  </si>
  <si>
    <t>Sunham Blue Jacobean Floral Cotton 30 Blue Bath Towels</t>
  </si>
  <si>
    <t>T21662B263054</t>
  </si>
  <si>
    <t>651896642821</t>
  </si>
  <si>
    <t>Morgan Home LAST ACT Holiday Print Plush Holiday Truck No Size</t>
  </si>
  <si>
    <t>M642821</t>
  </si>
  <si>
    <t>651896642845</t>
  </si>
  <si>
    <t>Morgan Home CLOSEOUT Printed Plush 18 De Paris Amour No Size</t>
  </si>
  <si>
    <t>M642845</t>
  </si>
  <si>
    <t>726895579482</t>
  </si>
  <si>
    <t>Martha Stewart Collection Solid Open Stock 400-Thread Co Carnation Pink King</t>
  </si>
  <si>
    <t>10021053KP</t>
  </si>
  <si>
    <t>34299103043</t>
  </si>
  <si>
    <t>Charter Club Utility Shower Hooks, Powerg Bronze</t>
  </si>
  <si>
    <t>PWRGLHKBR</t>
  </si>
  <si>
    <t>CHARTER CLUB-EDI/EXCELL</t>
  </si>
  <si>
    <t>706254616591</t>
  </si>
  <si>
    <t>Hotel Collection Borderline 16 x 30 Hand Towe Blue Hand Towels</t>
  </si>
  <si>
    <t>HTLBRDHMD</t>
  </si>
  <si>
    <t>706255871739</t>
  </si>
  <si>
    <t>Martha Stewart Collection Quick Dry Reversible Hand Towe White Hand Towels</t>
  </si>
  <si>
    <t>MSQDRHWT</t>
  </si>
  <si>
    <t>813538020644</t>
  </si>
  <si>
    <t>PILLOW</t>
  </si>
  <si>
    <t>814026028999</t>
  </si>
  <si>
    <t>RAVATTI QUEEN QUILT</t>
  </si>
  <si>
    <t>QT-RVTI-Q</t>
  </si>
  <si>
    <t>96675612235</t>
  </si>
  <si>
    <t>SensorGel Sensor Gel Arctic 3-Inch Memor White Queen</t>
  </si>
  <si>
    <t>NYLON/POLYESTER</t>
  </si>
  <si>
    <t>728455614466</t>
  </si>
  <si>
    <t>ESSEX BASIC</t>
  </si>
  <si>
    <t>M028FQDUVAZ</t>
  </si>
  <si>
    <t>BRIGHTBLUE</t>
  </si>
  <si>
    <t>732995626957</t>
  </si>
  <si>
    <t>Hotel Collection Woodrose 400-Thread Count Full Medium Pink FullQueen</t>
  </si>
  <si>
    <t>100051078FQ</t>
  </si>
  <si>
    <t>FABRIC: COTTON; THREAD COUNT: 400; POLYESTER FILL</t>
  </si>
  <si>
    <t>883893542020</t>
  </si>
  <si>
    <t>Laura Ashley Adelina White Comforter Set, F White FullQueen</t>
  </si>
  <si>
    <t>USHSA51036866</t>
  </si>
  <si>
    <t>LAURA ASHLEY/REVMAN INTERNATIONAL</t>
  </si>
  <si>
    <t>COTTON COVER. POLYESTER FILL.</t>
  </si>
  <si>
    <t>46249612604</t>
  </si>
  <si>
    <t>Tommy Hilfiger Clash of 85 Stripe 2 Piece Twi Multi Twin</t>
  </si>
  <si>
    <t>17T0233-TW-M1-D1</t>
  </si>
  <si>
    <t>733001041559</t>
  </si>
  <si>
    <t>ELIZA KG DVT</t>
  </si>
  <si>
    <t>100095287KG</t>
  </si>
  <si>
    <t>813654022942</t>
  </si>
  <si>
    <t>HiEnd Accents Eyelet Bed Skirt, Queen White Queen</t>
  </si>
  <si>
    <t>BS1005-QN-OC</t>
  </si>
  <si>
    <t>HIEND ACCENTS/3J INTERNATIONAL LTD</t>
  </si>
  <si>
    <t>SKIRT: 100% COTTON; DECKING: 100% POLYESTER</t>
  </si>
  <si>
    <t>689192618615</t>
  </si>
  <si>
    <t>Ella Jayne 12lb Reversible Anti-Anxiety W GreyBlack</t>
  </si>
  <si>
    <t>EJHCFWT-GB-S-12</t>
  </si>
  <si>
    <t>883893542013</t>
  </si>
  <si>
    <t>Laura Ashley Adelina White Comforter Set, T White Twin</t>
  </si>
  <si>
    <t>USHSA51036865</t>
  </si>
  <si>
    <t>883893409521</t>
  </si>
  <si>
    <t>Laura Ashley Laura Ashley FullQueen Felici Grey FullQueen</t>
  </si>
  <si>
    <t>883893306233</t>
  </si>
  <si>
    <t>Nautica Mineola Navy Comforter Set, Tw Navy Twin</t>
  </si>
  <si>
    <t>32281230241</t>
  </si>
  <si>
    <t>Disney Frozen 2 Sparkle 8pc Full Bed Multi Full</t>
  </si>
  <si>
    <t>JF23024</t>
  </si>
  <si>
    <t>86569279644</t>
  </si>
  <si>
    <t>Addison Park Aubrey Queen 9-Pc. Comforter S Navy Queen</t>
  </si>
  <si>
    <t>MCH10-1564</t>
  </si>
  <si>
    <t>734737637313</t>
  </si>
  <si>
    <t>Sunham June charcoal KNG CS Charcoal King</t>
  </si>
  <si>
    <t>706257404607</t>
  </si>
  <si>
    <t>Hotel Collection Cotton 680 Thread Count Extra- Ivory Queen</t>
  </si>
  <si>
    <t>68I27QXFT</t>
  </si>
  <si>
    <t>706258994510</t>
  </si>
  <si>
    <t>Hotel Collection Speckle 14 x 24 Decorative P Pink</t>
  </si>
  <si>
    <t>HOTEL COLLECTION-EDI/FASHION ACCESS</t>
  </si>
  <si>
    <t>FABRIC: LINEN; FILL: POLYESTER</t>
  </si>
  <si>
    <t>734737620254</t>
  </si>
  <si>
    <t>Sunham Paris 12-Pc. Reversible Comfor Gray Queen</t>
  </si>
  <si>
    <t>733001448624</t>
  </si>
  <si>
    <t>Charter Club Damask Designs Garden Manor Co Red King</t>
  </si>
  <si>
    <t>100098972KG</t>
  </si>
  <si>
    <t>726895696387</t>
  </si>
  <si>
    <t>Hotel Collection Voile Standard Sham Grey Standard Sham</t>
  </si>
  <si>
    <t>100024682SD</t>
  </si>
  <si>
    <t>734737581500</t>
  </si>
  <si>
    <t>Sunham Irene 8-Pc. Reversible King Co Blush King</t>
  </si>
  <si>
    <t>887719142937</t>
  </si>
  <si>
    <t>Goodnight Sleep 1200 TC Cotton Poly 6-PC SS So Lilac Queen</t>
  </si>
  <si>
    <t>T1200SLDLILQN</t>
  </si>
  <si>
    <t>GOODFUL/WELSPUN USA INC</t>
  </si>
  <si>
    <t>191790037489</t>
  </si>
  <si>
    <t>AQ Textiles Ultra Cool 700-Thread Count 4- Taupe Queen</t>
  </si>
  <si>
    <t>25002103025AQT</t>
  </si>
  <si>
    <t>732998818670</t>
  </si>
  <si>
    <t>Charter Club Reversible 500-Thread Count 4- Chateau Beige Queen</t>
  </si>
  <si>
    <t>100084689QN</t>
  </si>
  <si>
    <t>734737422940</t>
  </si>
  <si>
    <t>Fairfield Square Collection Austin 8-Pc. Reversible Comfor Red Full</t>
  </si>
  <si>
    <t>15977129V</t>
  </si>
  <si>
    <t>732995183009</t>
  </si>
  <si>
    <t>Hotel Collection Luxe Border European Sham Ivory European Sham</t>
  </si>
  <si>
    <t>100047271ER</t>
  </si>
  <si>
    <t>636202239568</t>
  </si>
  <si>
    <t>Martha Stewart Collection Flirty Flamingo Graphic-Print Pastel</t>
  </si>
  <si>
    <t>DECFLMNGO</t>
  </si>
  <si>
    <t>MARTHA STEWART-EDI/BALTIC LINENS</t>
  </si>
  <si>
    <t>784851504305</t>
  </si>
  <si>
    <t>Elegant Comfort Elegant Comfort Luxurious Silk Navy FullQueen</t>
  </si>
  <si>
    <t>STRIPE DUVET Q NAVY</t>
  </si>
  <si>
    <t>734737635586</t>
  </si>
  <si>
    <t>Fairfield Square Collection GTHM blkwht T CS Blackwhite Twin</t>
  </si>
  <si>
    <t>734737635012</t>
  </si>
  <si>
    <t>Sunham T500 CVC Printed Queen Sheet S Blue leaves Queen</t>
  </si>
  <si>
    <t>26865919615</t>
  </si>
  <si>
    <t>Elrene Elrene Antonia 52 x 84 Black Taupe 52x84</t>
  </si>
  <si>
    <t>20860TAU</t>
  </si>
  <si>
    <t>726895863819</t>
  </si>
  <si>
    <t>Hotel Collection Linen Standard Sham White Standard Sham</t>
  </si>
  <si>
    <t>100028121SD</t>
  </si>
  <si>
    <t>IN LINEN, A LIGHTWEIGHT YEAR-ROUND FABRIC THAT GETS SOFTER WITH EVERY WASH</t>
  </si>
  <si>
    <t>706255766097</t>
  </si>
  <si>
    <t>Hotel Collection Dimensions Champagne King Sham Champagne King Sham</t>
  </si>
  <si>
    <t>DM14KS790</t>
  </si>
  <si>
    <t>POLYESTER/RAYON</t>
  </si>
  <si>
    <t>788904002114</t>
  </si>
  <si>
    <t>Blue Ridge Blue Ridge Reversible Down Alt Navylight Blue King</t>
  </si>
  <si>
    <t>22415086103</t>
  </si>
  <si>
    <t>Sealy Sealy Allergy Advanced Mattres White Twin</t>
  </si>
  <si>
    <t>AMERICAN TEXTILE</t>
  </si>
  <si>
    <t>86569115256</t>
  </si>
  <si>
    <t>Natori N Natori Hanae 26 x 26 Cotto White ONE SIZE</t>
  </si>
  <si>
    <t>NS11-3247</t>
  </si>
  <si>
    <t>NATORI/JLA HOME/E &amp; E CO LTD</t>
  </si>
  <si>
    <t>FACE: POLYESTER/COTTON YARN DYED FABRIC PIECED WITH COTTON PERCALE BINDING, REVERSE: COTTON PERCALE</t>
  </si>
  <si>
    <t>26865577808</t>
  </si>
  <si>
    <t>Elrene Window Treatments, Versailles Ivory 52x95</t>
  </si>
  <si>
    <t>738980935158</t>
  </si>
  <si>
    <t>Victoria Classics Sherpa Herringbone 50 x 60 T Antique White</t>
  </si>
  <si>
    <t>HER-THR-5060-MA-ANTQ</t>
  </si>
  <si>
    <t>96675386860</t>
  </si>
  <si>
    <t>BioPEDIC BioPEDIC Ultra-Fresh Antimicro White Standard</t>
  </si>
  <si>
    <t>COVER: 200 THREAD COUNT 100% COTTON; FILL: POLYESTER</t>
  </si>
  <si>
    <t>732994477284</t>
  </si>
  <si>
    <t>Martha Stewart Collection Box Plaid Reversible Yarn-Dyed Grey Standard Sham</t>
  </si>
  <si>
    <t>BOXPLDST</t>
  </si>
  <si>
    <t>86569111333</t>
  </si>
  <si>
    <t>JLA Home Delilah 72 x 72 Faux-Linen S Red Multi 72X72</t>
  </si>
  <si>
    <t>MCH70-998</t>
  </si>
  <si>
    <t>POLYESTER 135GSM</t>
  </si>
  <si>
    <t>96675820623</t>
  </si>
  <si>
    <t>SensorGel SensoSoft 21 x 24 Contour Charcoal 21 x 24</t>
  </si>
  <si>
    <t>SENSOR/SOFT-TEX MFG/SOFT-TEX INTL</t>
  </si>
  <si>
    <t>32281252151</t>
  </si>
  <si>
    <t>Disney Disney 2 Pack Squishy Pillows Star Wars Empire</t>
  </si>
  <si>
    <t>JF25215</t>
  </si>
  <si>
    <t>32281247140</t>
  </si>
  <si>
    <t>Jay Franco Star Wars 2-Pack Squishy Pillo Multi Color</t>
  </si>
  <si>
    <t>JF24714MCD</t>
  </si>
  <si>
    <t>PRINTED VELBOA WITH SQUISHY FILL</t>
  </si>
  <si>
    <t>750105143781</t>
  </si>
  <si>
    <t>Martha Stewart Collection Essentials Quilted Standard Do White StandardQueen</t>
  </si>
  <si>
    <t>10022854QN</t>
  </si>
  <si>
    <t>ESSENTIALS BY MARTHA/DOWNLITE IN'TL</t>
  </si>
  <si>
    <t>732996565040</t>
  </si>
  <si>
    <t>Martha Stewart Collection Poinsettia 2-Pc. Fingertip Set White Combo No Size</t>
  </si>
  <si>
    <t>706254616621</t>
  </si>
  <si>
    <t>Hotel Collection Borderline 13 Square Washclot Green Washcloths</t>
  </si>
  <si>
    <t>HTLBRDWCL</t>
  </si>
  <si>
    <t>800298716702</t>
  </si>
  <si>
    <t>Donna Karan Donna Karan Collection Silk In Black King</t>
  </si>
  <si>
    <t>2OC001005KDMS</t>
  </si>
  <si>
    <t>DONNA KARAN HOME/CHF INDUSTRIES</t>
  </si>
  <si>
    <t>883893702035</t>
  </si>
  <si>
    <t>Nautica Nautica Woodbine Bonus Comfort Tan FullQueen</t>
  </si>
  <si>
    <t>USHS8K1175344</t>
  </si>
  <si>
    <t>733001362364</t>
  </si>
  <si>
    <t>Martha Stewart Collection Tufted Plaid Quilted Standard Gray Standard Sham</t>
  </si>
  <si>
    <t>100104029ST</t>
  </si>
  <si>
    <t>34086732272</t>
  </si>
  <si>
    <t>SERTA DOWN ALT S/Q P BASIC</t>
  </si>
  <si>
    <t>SRTADWNPILLOW</t>
  </si>
  <si>
    <t>AMERICAN FIBER IND/SPRINGS IND</t>
  </si>
  <si>
    <t>675716942540</t>
  </si>
  <si>
    <t>Madison Park Essentials Essentials Joella California K Ivory California King</t>
  </si>
  <si>
    <t>MPE10-481</t>
  </si>
  <si>
    <t>COMFORTER/SHAM/BEDSKIRT/EUROPEAN SHAM/PILLOW COVER/WINDOW PANELS/TIEBACKS/WINDOW VALANCE: POLYESTER; SHEET SET: POLYESTER 85 GRAMS PER SQUARE METER; COMFORTER FILL: POLYESTER 270 GRAMS PER SQUARE METER; PILLOW: POLYESTER FILL</t>
  </si>
  <si>
    <t>732998111658</t>
  </si>
  <si>
    <t>Hotel Collection Hotel Collection Classic Seren Blue King</t>
  </si>
  <si>
    <t>100089734KG</t>
  </si>
  <si>
    <t>"SHELL: 100% COTTON EXCLUSIVE OF DECORATION FILL: 100% POLYESTER"</t>
  </si>
  <si>
    <t>732997906477</t>
  </si>
  <si>
    <t>Hotel Collection Hotel Collection Terra King Du Grey King</t>
  </si>
  <si>
    <t>100073973KG</t>
  </si>
  <si>
    <t>636206070501</t>
  </si>
  <si>
    <t>Hotel Collection Dimensional FullQueen Duvet C Blue FullQueen</t>
  </si>
  <si>
    <t>100041067FQ</t>
  </si>
  <si>
    <t>842164005008</t>
  </si>
  <si>
    <t>AQ Textiles Bergen Cotton Sateen 1000-Thre Dark Grey King</t>
  </si>
  <si>
    <t>19843704221AQT</t>
  </si>
  <si>
    <t>108X9X96/8</t>
  </si>
  <si>
    <t>EGYPTIAN COTTON</t>
  </si>
  <si>
    <t>883893550339</t>
  </si>
  <si>
    <t>Nautica Nautica Rendon FullQueen Comf Charcoal FullQueen</t>
  </si>
  <si>
    <t>USHSA51052092</t>
  </si>
  <si>
    <t>726895187090</t>
  </si>
  <si>
    <t>Martha Stewart Collection Nautical Stripe King Quilt Blue King</t>
  </si>
  <si>
    <t>100039545KG</t>
  </si>
  <si>
    <t>732994459228</t>
  </si>
  <si>
    <t>Martha Stewart Collection Flourish Velvet King Quilt Pink Rose King</t>
  </si>
  <si>
    <t>VFLSHPKKG</t>
  </si>
  <si>
    <t>FACE: POLYESTER/SPANDEX; BACK AND FILL: COTTON</t>
  </si>
  <si>
    <t>733001039877</t>
  </si>
  <si>
    <t>Martha Stewart Collection Luxury 100 Cotton Flannel 4-P Ash King</t>
  </si>
  <si>
    <t>100020870KG</t>
  </si>
  <si>
    <t>86569047236</t>
  </si>
  <si>
    <t>Sleep Philosophy Sleep Philosophy Premium Soft Blue 60x70</t>
  </si>
  <si>
    <t>BL51-0917</t>
  </si>
  <si>
    <t>POLYESTER COVER / NON TOXIC BEADS &amp; POLYESTER FIBER FILLING</t>
  </si>
  <si>
    <t>41808807552</t>
  </si>
  <si>
    <t>Jessica Simpson Cotton Medallion Gray FullQue White Ground With Grey Stitchi FullQueen</t>
  </si>
  <si>
    <t>A027015GYFDE</t>
  </si>
  <si>
    <t>JESSICA SIMPSON/PEKING HANDICRAFT</t>
  </si>
  <si>
    <t>874479000867</t>
  </si>
  <si>
    <t>Jerdon The Jerdon HL745CO 8.5 Tablet Chrome No Size</t>
  </si>
  <si>
    <t>HL745CO</t>
  </si>
  <si>
    <t>JERDON STYLE LLC</t>
  </si>
  <si>
    <t>METAL, GLASS</t>
  </si>
  <si>
    <t>783048075819</t>
  </si>
  <si>
    <t>Truly Soft Truly Soft Arrow Pleated 8 Pie White Queen</t>
  </si>
  <si>
    <t>BIB1969WTQAR-32</t>
  </si>
  <si>
    <t>732994459266</t>
  </si>
  <si>
    <t>Martha Stewart Collection Midland Vine 100 Cotton Full Light BeigePurple Full</t>
  </si>
  <si>
    <t>MIDLANDFL</t>
  </si>
  <si>
    <t>788904113353</t>
  </si>
  <si>
    <t>Royal Luxe White Goose 240-Thread Count K White King</t>
  </si>
  <si>
    <t>DOWN FILL</t>
  </si>
  <si>
    <t>86569387677</t>
  </si>
  <si>
    <t>JLA Home Gemma 6-Pc. Twin Comforter Set Purple Twin</t>
  </si>
  <si>
    <t>MCH10-2085</t>
  </si>
  <si>
    <t>191790036918</t>
  </si>
  <si>
    <t>AQ Textiles Ultra Lux T800 Cotton 4 piece White Queen</t>
  </si>
  <si>
    <t>24942103001AQT</t>
  </si>
  <si>
    <t>732995473667</t>
  </si>
  <si>
    <t>Charter Club Damask Designs Watercolor Leaf Yellow FullQueen</t>
  </si>
  <si>
    <t>100037348FQ</t>
  </si>
  <si>
    <t>COTTON / POLYESTER</t>
  </si>
  <si>
    <t>849203036047</t>
  </si>
  <si>
    <t>PKaufmann Home Floral loveseat Sand ONE SIZE</t>
  </si>
  <si>
    <t>9587LOV</t>
  </si>
  <si>
    <t>P KAUFMANN INC</t>
  </si>
  <si>
    <t>POLYESTER/SPANDEX</t>
  </si>
  <si>
    <t>722970125438</t>
  </si>
  <si>
    <t>Puredown Puredown Pillow Set of 2 King White King</t>
  </si>
  <si>
    <t>PD FP 17002 K</t>
  </si>
  <si>
    <t>ST JAMES HOME INC</t>
  </si>
  <si>
    <t>SHELL - 100 % COTTON, STUFFING - 100 % DOWN FIBER</t>
  </si>
  <si>
    <t>689192611555</t>
  </si>
  <si>
    <t>Ella Jayne Reversible Brushed Microfiber Platinum FullQueen</t>
  </si>
  <si>
    <t>EJHCFSTREVWPFQ</t>
  </si>
  <si>
    <t>SUPER SOFT TRIPLE BRUSHED MICROFIBER</t>
  </si>
  <si>
    <t>842491159085</t>
  </si>
  <si>
    <t>Sweet Home Collection Hotel Grand King Blanket Navy King</t>
  </si>
  <si>
    <t>BL-GRAND-KG</t>
  </si>
  <si>
    <t>SWEET HOME COLLECTION/BED BATH N MO</t>
  </si>
  <si>
    <t>706257404331</t>
  </si>
  <si>
    <t>Hotel Collection Cotton 680 Thread Count King F White King</t>
  </si>
  <si>
    <t>68H21KGFL</t>
  </si>
  <si>
    <t>KING FLAT</t>
  </si>
  <si>
    <t>783048111173</t>
  </si>
  <si>
    <t>Charisma Cellini 32 x 16 Decorative P White 18x18</t>
  </si>
  <si>
    <t>CF3268DP3-1400</t>
  </si>
  <si>
    <t>CHARISMA/PEM AMERICA INC</t>
  </si>
  <si>
    <t>191790023420</t>
  </si>
  <si>
    <t>Fairfield Square Collection Fairfield Square Sydney 825-Th Ivory Queen</t>
  </si>
  <si>
    <t>23202103003AQT</t>
  </si>
  <si>
    <t>675716533496</t>
  </si>
  <si>
    <t>JLA Home Heathered Jersey 4-Pc. Solid Q Natural Queen</t>
  </si>
  <si>
    <t>II20-077</t>
  </si>
  <si>
    <t>732995187441</t>
  </si>
  <si>
    <t>EMB TILE EU SHAM</t>
  </si>
  <si>
    <t>100035830ER</t>
  </si>
  <si>
    <t>SHELL: 60% COTTON/40% POLYESTER; EMBROIDERY: 84.4% POLYESTER/15.6% METALLIC FIBERS</t>
  </si>
  <si>
    <t>689439181551</t>
  </si>
  <si>
    <t>HP 500TC S PC BASIC</t>
  </si>
  <si>
    <t>5XC53FFL79</t>
  </si>
  <si>
    <t>HUDSON PARK-EDI/RWI/LAMEIRINHO-BLM</t>
  </si>
  <si>
    <t>191790040939</t>
  </si>
  <si>
    <t>AQ Textiles Camden 1250 thread count 4 pc Blue Queen</t>
  </si>
  <si>
    <t>25542103002AQT</t>
  </si>
  <si>
    <t>732998775256</t>
  </si>
  <si>
    <t>Hotel Collection Hotel Collection Avalon Queen Ivory Queen</t>
  </si>
  <si>
    <t>100090381QN</t>
  </si>
  <si>
    <t>HOTEL BY CHARTER CLUB-MMG</t>
  </si>
  <si>
    <t>671826955081</t>
  </si>
  <si>
    <t>Siscovers Siscovers Crystalize Glam 16 Ivory</t>
  </si>
  <si>
    <t>CRYS-P17</t>
  </si>
  <si>
    <t>SISCOVERS/SIS ENTERPRISES INC</t>
  </si>
  <si>
    <t>855130008002</t>
  </si>
  <si>
    <t>Cozy Comfort Hoodie Throw Blue ONE SIZE</t>
  </si>
  <si>
    <t>COMFYBLU</t>
  </si>
  <si>
    <t>COZY COMFORT COMPANY LLC</t>
  </si>
  <si>
    <t>788904002237</t>
  </si>
  <si>
    <t>Blue Ridge Blue Ridge Reversible Down Alt Burgundymauve King</t>
  </si>
  <si>
    <t>671826872715</t>
  </si>
  <si>
    <t>Siscovers Siscovers Mission Statement 20 Dk Red</t>
  </si>
  <si>
    <t>MIST-P20</t>
  </si>
  <si>
    <t>807709912388</t>
  </si>
  <si>
    <t>Dainty Home Malibu Linen Look Sheer Gromme Green ONE SIZE</t>
  </si>
  <si>
    <t>MAL11084SA</t>
  </si>
  <si>
    <t>BABY SIGNATURE DBA DAINTY HOME INC</t>
  </si>
  <si>
    <t>854130004007</t>
  </si>
  <si>
    <t>Morning Glamour Signature Box 2 Pack Satin Pil Ivory Standard Pillowcases</t>
  </si>
  <si>
    <t>PILLOWCASE2PACK</t>
  </si>
  <si>
    <t>MORNING GLAMOUR/TCG CONTINUUM LLC</t>
  </si>
  <si>
    <t>100% SATIN CHARMEUSE POLYESTER</t>
  </si>
  <si>
    <t>86569363435</t>
  </si>
  <si>
    <t>735837575628</t>
  </si>
  <si>
    <t>JLA Home Essential Full Mattress Pad White Full</t>
  </si>
  <si>
    <t>SLPSC1F03</t>
  </si>
  <si>
    <t>MARTHA STEWART-E&amp;E CO/JLA HOME</t>
  </si>
  <si>
    <t>732998000235</t>
  </si>
  <si>
    <t>Charter Club Continuous Comfort MediumFirm White King</t>
  </si>
  <si>
    <t>100085912KG</t>
  </si>
  <si>
    <t>875647008029</t>
  </si>
  <si>
    <t>MY DREAMWEAVE PW STD</t>
  </si>
  <si>
    <t>BMI8969L6</t>
  </si>
  <si>
    <t>ALLIED HOME LLC</t>
  </si>
  <si>
    <t>COVER: POLYESTER/NYLON; FILL: POLYESTER</t>
  </si>
  <si>
    <t>733001452003</t>
  </si>
  <si>
    <t>Martha Stewart Collection HO HO HO 20 x 12 Decorative White 12x20</t>
  </si>
  <si>
    <t>734737552371</t>
  </si>
  <si>
    <t>Sunham Colesville 3-Pc. Comforter Set Blush Twin</t>
  </si>
  <si>
    <t>18953022V</t>
  </si>
  <si>
    <t>732997299432</t>
  </si>
  <si>
    <t>HP 500TC S PC CC</t>
  </si>
  <si>
    <t>5CC70SPC79</t>
  </si>
  <si>
    <t>732994215756</t>
  </si>
  <si>
    <t>Charter Club Damask Designs Paisley Cotton Spice European Sham</t>
  </si>
  <si>
    <t>100022744ER</t>
  </si>
  <si>
    <t>FABRIC: PIMA COTTON</t>
  </si>
  <si>
    <t>29927440249</t>
  </si>
  <si>
    <t>Sun Zero Sun Zero Preston 40 x 63 Gro Barley 40x63</t>
  </si>
  <si>
    <t>29927509441</t>
  </si>
  <si>
    <t>Sun Zero Sun Zero Preston 40 x 63 Gro Pearl 40x63</t>
  </si>
  <si>
    <t>29927245196</t>
  </si>
  <si>
    <t>No. 918 No. 918 Alison Floral Lace 58 White 58x84</t>
  </si>
  <si>
    <t>732996957821</t>
  </si>
  <si>
    <t>Charter Club Cozy Plush Throw Hardy Blue 50x70</t>
  </si>
  <si>
    <t>29927489347</t>
  </si>
  <si>
    <t>No. 918 No. 918 Alison Floral Lace 58 Ivory 58x38</t>
  </si>
  <si>
    <t>680656163221</t>
  </si>
  <si>
    <t>Decopolitan Decopolitan 1-Inch Ball Telesc Silver</t>
  </si>
  <si>
    <t>30409-SL18</t>
  </si>
  <si>
    <t>DECOPOLITAN/BEME INTERNATIONAL LLC</t>
  </si>
  <si>
    <t>STEEL</t>
  </si>
  <si>
    <t>766195416612</t>
  </si>
  <si>
    <t>Tommy Hilfiger Corded Logo StandardQueen Pil White StandardQueen</t>
  </si>
  <si>
    <t>TH1620175</t>
  </si>
  <si>
    <t>TOMMY HILFIGER HOME/HIMATSINGKA</t>
  </si>
  <si>
    <t>200-THREAD COUNT COTTON COVER; SUPRALOFT® POLYESTER FILL</t>
  </si>
  <si>
    <t>850009689276</t>
  </si>
  <si>
    <t>BLISSY BLISSY 22-Momme Silk Pillowcas Navy Queen</t>
  </si>
  <si>
    <t>PID100</t>
  </si>
  <si>
    <t>BLISSY LLC</t>
  </si>
  <si>
    <t>732999069477</t>
  </si>
  <si>
    <t>Martha Stewart Collection Americana Patchwork Twin Quilt Blue TwinTwin XL</t>
  </si>
  <si>
    <t>100082697TW</t>
  </si>
  <si>
    <t>400011639433</t>
  </si>
  <si>
    <t>DOMESTICS</t>
  </si>
  <si>
    <t>810026173370</t>
  </si>
  <si>
    <t>Cheer Collection Cheer Collection U-shaped Pill White Body Pillow</t>
  </si>
  <si>
    <t>CC-PRGPL-U</t>
  </si>
  <si>
    <t>CHEER COLLECTION/DIGITALPRINTS USA</t>
  </si>
  <si>
    <t>813811014841</t>
  </si>
  <si>
    <t>Comfort Revolution Queen Bubble Gel Memory Foam P White</t>
  </si>
  <si>
    <t>F01-00148-QN1</t>
  </si>
  <si>
    <t>COMFORT REVOLUTION LLC</t>
  </si>
  <si>
    <t>812228031083</t>
  </si>
  <si>
    <t>Bare Home Bare Home Polar Fleece Blanket Red FullQueen</t>
  </si>
  <si>
    <t>FLEECEBFQ</t>
  </si>
  <si>
    <t>JP ECOMMERCE</t>
  </si>
  <si>
    <t>492601565796</t>
  </si>
  <si>
    <t>TEXTILES</t>
  </si>
  <si>
    <t>91116720623</t>
  </si>
  <si>
    <t>Sanders 3 Piece Twin XL Size Printed M Oregon Plaid Twin XL</t>
  </si>
  <si>
    <t>735837574188</t>
  </si>
  <si>
    <t>Hotel Collection European White Goose Down Medi White King</t>
  </si>
  <si>
    <t>HWGDKM06</t>
  </si>
  <si>
    <t>635983500997</t>
  </si>
  <si>
    <t>Ella Jayne 100 Certified RDS All Season White FullQueen</t>
  </si>
  <si>
    <t>BMI10579LQ</t>
  </si>
  <si>
    <t>SHELL: 100% COTTON</t>
  </si>
  <si>
    <t>636206071324</t>
  </si>
  <si>
    <t>Hotel Collection Dimensional King Quilted Cover Blue King</t>
  </si>
  <si>
    <t>100041079KG</t>
  </si>
  <si>
    <t>636206070525</t>
  </si>
  <si>
    <t>Hotel Collection Dimensional King Duvet Cover Blue King</t>
  </si>
  <si>
    <t>100041067KG</t>
  </si>
  <si>
    <t>726895980752</t>
  </si>
  <si>
    <t>Hotel Collection Honeycomb Queen Coverlet Oatmeal Queen</t>
  </si>
  <si>
    <t>100020102QN</t>
  </si>
  <si>
    <t>LINEN/COTTON.</t>
  </si>
  <si>
    <t>800298598346</t>
  </si>
  <si>
    <t>DKNY PURE Comfy Cotton FullQueen D White FullQueen</t>
  </si>
  <si>
    <t>PGD001009DVG</t>
  </si>
  <si>
    <t>732999186327</t>
  </si>
  <si>
    <t>Charter Club Damask Designs Woven Tile 3-Pc Grey King</t>
  </si>
  <si>
    <t>100082939KG</t>
  </si>
  <si>
    <t>750105141428</t>
  </si>
  <si>
    <t>Hotel Collection Primaloft Silver 450-Thread Co White FullQueen</t>
  </si>
  <si>
    <t>10011754F</t>
  </si>
  <si>
    <t>COVER: COTTON 450 TC; POLYESTER FILL</t>
  </si>
  <si>
    <t>883893359024</t>
  </si>
  <si>
    <t>Tommy Bahama Home Solid Pelican Grey Quilt Set, Grey King</t>
  </si>
  <si>
    <t>TOMMY BAHAMA/REVMAN INTERNATIONAL</t>
  </si>
  <si>
    <t>726895066784</t>
  </si>
  <si>
    <t>Hotel Collection Diamond Stripe Quilted FullQu Grey FullQueen</t>
  </si>
  <si>
    <t>1004110QN</t>
  </si>
  <si>
    <t>732998792819</t>
  </si>
  <si>
    <t>Charter Club Damask Cotton 210-Thread Count Smoke King</t>
  </si>
  <si>
    <t>DSKQLTCKGSMO</t>
  </si>
  <si>
    <t>732994477260</t>
  </si>
  <si>
    <t>Martha Stewart Collection Box Plaid Reversible Yarn-Dyed Grey FullQueen</t>
  </si>
  <si>
    <t>BOXPLDFQ</t>
  </si>
  <si>
    <t>706258596639</t>
  </si>
  <si>
    <t>Charter Club Ultra Fine Cotton 800-Thread C Ivory Queen</t>
  </si>
  <si>
    <t>T800QNSIVR</t>
  </si>
  <si>
    <t>CHARTER CLUB-EDI/RWI/NAISHAT</t>
  </si>
  <si>
    <t>86569420374</t>
  </si>
  <si>
    <t>Addison Park Adela 9-Pc. Queen Comforter Se Multi Queen</t>
  </si>
  <si>
    <t>MCH10-2175</t>
  </si>
  <si>
    <t>734737581647</t>
  </si>
  <si>
    <t>Sunham Gingham 8-Pc. Reversible Queen Gray Queen</t>
  </si>
  <si>
    <t>DARK BEIGE</t>
  </si>
  <si>
    <t>706258051367</t>
  </si>
  <si>
    <t>Charter Club Damask Cotton 210-Thread Count Stone FullQueen</t>
  </si>
  <si>
    <t>DSKQLTCFQST</t>
  </si>
  <si>
    <t>750105104447</t>
  </si>
  <si>
    <t>Charter Club Vail Down Medium StandardQuee White</t>
  </si>
  <si>
    <t>FEDP0640WQ</t>
  </si>
  <si>
    <t>811098030837</t>
  </si>
  <si>
    <t>Puredown Puredown Dobby Dot Alternative White Twin</t>
  </si>
  <si>
    <t>PD AC15009 T</t>
  </si>
  <si>
    <t>SHELL - 100 % COTTON, STUFFING - 100 % POLYESTER</t>
  </si>
  <si>
    <t>732997493946</t>
  </si>
  <si>
    <t>Charter Club Damask Cotton 550-Thread Count Smoke Grey FullQueen</t>
  </si>
  <si>
    <t>100068875FQ</t>
  </si>
  <si>
    <t>732997493113</t>
  </si>
  <si>
    <t>Charter Club Damask Thin Stripe Cotton 550- White FullQueen</t>
  </si>
  <si>
    <t>100051414FQ</t>
  </si>
  <si>
    <t>635983499611</t>
  </si>
  <si>
    <t>Ella Jayne Overstuffed Plush MediumFirm White King</t>
  </si>
  <si>
    <t>BMI10191L2K</t>
  </si>
  <si>
    <t>SHELL: 220 THREAD COUNT POLYESTER MICROFIBER, FILL: 100% DOWN ALTERNATIVE FINE GEL FIBERS</t>
  </si>
  <si>
    <t>733001040842</t>
  </si>
  <si>
    <t>Martha Stewart Collection Printed Cotton Flannel 4-Pc. K Buffalo Check King</t>
  </si>
  <si>
    <t>100057183KG</t>
  </si>
  <si>
    <t>732995562958</t>
  </si>
  <si>
    <t>Charter Club Damask Designs Wovenblock Cott Smoke Full</t>
  </si>
  <si>
    <t>100023143FL</t>
  </si>
  <si>
    <t>CHARTER CLUB-EDI/RWI/LAMEIRINHO</t>
  </si>
  <si>
    <t>812194027448</t>
  </si>
  <si>
    <t>Pointehaven Pointehaven Superior Weight Co Fair Isle Queen</t>
  </si>
  <si>
    <t>FP175-Q-FRI</t>
  </si>
  <si>
    <t>SAFAH INTERNATIONAL INC</t>
  </si>
  <si>
    <t>191790024618</t>
  </si>
  <si>
    <t>Fairfield Square Collection Brookline 1400-Thread Count 6- Ivory Queen</t>
  </si>
  <si>
    <t>23312103003AQT</t>
  </si>
  <si>
    <t>784851506989</t>
  </si>
  <si>
    <t>Elegant Comfort Elegant Comfort All - Season D Red KingCalifornia King</t>
  </si>
  <si>
    <t>COMFORTER KINGRED GR</t>
  </si>
  <si>
    <t>846225036383</t>
  </si>
  <si>
    <t>Manor Luxe Manor Luxe Charlotte Jute Trim Off White</t>
  </si>
  <si>
    <t>ML194542424OWFE</t>
  </si>
  <si>
    <t>24X24</t>
  </si>
  <si>
    <t>INTREPID INTL TRADING CO LLC</t>
  </si>
  <si>
    <t>POLYESTER, JUTE, FEATHERS AND DOWN</t>
  </si>
  <si>
    <t>636047388223</t>
  </si>
  <si>
    <t>Greenland Home Fashions Cruz Furniture Protector Sofa Multi Sofa Slipcover</t>
  </si>
  <si>
    <t>GL-1709GFPS</t>
  </si>
  <si>
    <t>636206070570</t>
  </si>
  <si>
    <t>Hotel Collection Dimensional European Sham Blue European Sham</t>
  </si>
  <si>
    <t>100041070ER</t>
  </si>
  <si>
    <t>784851507917</t>
  </si>
  <si>
    <t>DRAFT - delete Dark Green</t>
  </si>
  <si>
    <t>PENELOPIE 2PC SET CU</t>
  </si>
  <si>
    <t>733001040637</t>
  </si>
  <si>
    <t>Martha Stewart Collection 100 Cotton Flannel 4-Pc. Quee Haute Red Queen</t>
  </si>
  <si>
    <t>100020869QN</t>
  </si>
  <si>
    <t>86569092649</t>
  </si>
  <si>
    <t>JLA Home Ocean Adventures Twin Comforte Blue Twin</t>
  </si>
  <si>
    <t>MCH10-770</t>
  </si>
  <si>
    <t>COTTON 144 THREAD COUNT; FILL: POLYESTER</t>
  </si>
  <si>
    <t>732994215749</t>
  </si>
  <si>
    <t>Charter Club Damask Designs Paisley Cotton Spice Twin</t>
  </si>
  <si>
    <t>100022743TW</t>
  </si>
  <si>
    <t>FABRIC: 100% PIMA COTTON</t>
  </si>
  <si>
    <t>706257998199</t>
  </si>
  <si>
    <t>Hotel Collection Fresco European Sham Gold European Sham</t>
  </si>
  <si>
    <t>FO15ES790</t>
  </si>
  <si>
    <t>COTTON/RAYON</t>
  </si>
  <si>
    <t>636206071485</t>
  </si>
  <si>
    <t>Hotel Collection Dimensional Quilted European S Blue European Sham</t>
  </si>
  <si>
    <t>100041081ER</t>
  </si>
  <si>
    <t>784851504480</t>
  </si>
  <si>
    <t>Elegant Comfort Elegant Comfort Luxurious Silk Beige KingCalifornia King</t>
  </si>
  <si>
    <t>STRIPE DUVET KING CR</t>
  </si>
  <si>
    <t>784851503889</t>
  </si>
  <si>
    <t>Elegant Comfort Elegant Comfort Luxurious Silk Purple KingCalifornia King</t>
  </si>
  <si>
    <t>DVT1500 KING PURPLE</t>
  </si>
  <si>
    <t>DARKPURPLE</t>
  </si>
  <si>
    <t>810001368241</t>
  </si>
  <si>
    <t>Southshore Fine Linens Southshore Fine Linens Classy Dark Taupe Queen</t>
  </si>
  <si>
    <t>VIL-PLT-DTPE-Q</t>
  </si>
  <si>
    <t>QNJUMBOFIT</t>
  </si>
  <si>
    <t>SOUTHSHORE FINE LIN/BARGAIN ONLINE</t>
  </si>
  <si>
    <t>784857909920</t>
  </si>
  <si>
    <t>Idea Nuova Holiday Tree 17-Pc. Bath Set Multi No Size</t>
  </si>
  <si>
    <t>YK699437</t>
  </si>
  <si>
    <t>726895980707</t>
  </si>
  <si>
    <t>Hotel Collection Honeycomb Standard Sham Oatmeal Standard Sham</t>
  </si>
  <si>
    <t>100019681SD</t>
  </si>
  <si>
    <t>FRONT: LINEN/COTTON; BACK: COTTON</t>
  </si>
  <si>
    <t>636047388209</t>
  </si>
  <si>
    <t>Greenland Home Fashions Cruz Furniture Protector Arm C Multi</t>
  </si>
  <si>
    <t>GL-1709GFPA</t>
  </si>
  <si>
    <t>783048113412</t>
  </si>
  <si>
    <t>Pem America Ridgefield 3-Pc. FullQueen Co Multi FullQueen</t>
  </si>
  <si>
    <t>CS3246FQ-1540</t>
  </si>
  <si>
    <t>732999856336</t>
  </si>
  <si>
    <t>Martha Stewart Collection Martha Stewart Essentials Down Purple TwinTwin XL</t>
  </si>
  <si>
    <t>100113408TW</t>
  </si>
  <si>
    <t>21864376476</t>
  </si>
  <si>
    <t>Spode Spode Christmas Trees Fingerti Ivory Towel Set</t>
  </si>
  <si>
    <t>01523LPFTFIG</t>
  </si>
  <si>
    <t>91116707341</t>
  </si>
  <si>
    <t>Sanders Printed Microfiber King Sheet Edgewood Blue King</t>
  </si>
  <si>
    <t>PM3SSK</t>
  </si>
  <si>
    <t>91116695518</t>
  </si>
  <si>
    <t>Sanders Printed Microfiber King Sheet Chantel Spring King</t>
  </si>
  <si>
    <t>PINKOVERFL</t>
  </si>
  <si>
    <t>610406819375</t>
  </si>
  <si>
    <t>Homey Cozy Homey Cozy Emma Jacquard Throw Blue 20x20</t>
  </si>
  <si>
    <t>85160-BLUE</t>
  </si>
  <si>
    <t>HOME ACCENT PILLOW INC</t>
  </si>
  <si>
    <t>POLYESTER VELVET JACQUARD</t>
  </si>
  <si>
    <t>42694363986</t>
  </si>
  <si>
    <t>Mohawk Luster Stripe 17 x 24 Bath R Navy 17 x 24</t>
  </si>
  <si>
    <t>Y316600875</t>
  </si>
  <si>
    <t>NYLON FACE; LATEX BACKING</t>
  </si>
  <si>
    <t>25521182981</t>
  </si>
  <si>
    <t>Calvin Klein Tossed Down-Alternative Extra- White Standard</t>
  </si>
  <si>
    <t>18298FN</t>
  </si>
  <si>
    <t>CALVIN KLEIN/HOLLANDER SLEEP PROD</t>
  </si>
  <si>
    <t>SHELL: COTTON; DOWN-ALTERNATIVE FILL: POLYESTER</t>
  </si>
  <si>
    <t>735732551444</t>
  </si>
  <si>
    <t>Seventh Studio 3 Piece Bath Accessory Set Ltpaspink</t>
  </si>
  <si>
    <t>3B-BTH-3BTH-MA</t>
  </si>
  <si>
    <t>810033092954</t>
  </si>
  <si>
    <t>Caro Home Isadora Cotton 30 x 54 Bath Medium Blue Bath Towels</t>
  </si>
  <si>
    <t>BT1152T1353</t>
  </si>
  <si>
    <t>CARO HOME LLC</t>
  </si>
  <si>
    <t>810033092893</t>
  </si>
  <si>
    <t>Caro Home Isadora Cotton 30 x 54 Bath White Bath Towels</t>
  </si>
  <si>
    <t>BT1152T1100</t>
  </si>
  <si>
    <t>34086716074</t>
  </si>
  <si>
    <t>CC VAIL 5050 MEDFR K</t>
  </si>
  <si>
    <t>FEDP0780WK</t>
  </si>
  <si>
    <t>846339092404</t>
  </si>
  <si>
    <t>J Queen New York Maribella Crimson Queen Comfor Crimson Queen</t>
  </si>
  <si>
    <t>2368023QCS</t>
  </si>
  <si>
    <t>800298684728</t>
  </si>
  <si>
    <t>DKNY DKNY Pure Comfy King Comforter White King</t>
  </si>
  <si>
    <t>PGD001009KCMF</t>
  </si>
  <si>
    <t>846339092091</t>
  </si>
  <si>
    <t>J Queen New York Sardinia Gold King Comforter S Gold King</t>
  </si>
  <si>
    <t>2365030KCS</t>
  </si>
  <si>
    <t>636206071744</t>
  </si>
  <si>
    <t>Hotel Collection Dimensional FullQueen Comfort Blue FullQueen</t>
  </si>
  <si>
    <t>100044714FQ</t>
  </si>
  <si>
    <t>732998123231</t>
  </si>
  <si>
    <t>Hotel Collection Hotel Collection Layered Frame Jade King</t>
  </si>
  <si>
    <t>100085270KG</t>
  </si>
  <si>
    <t>100% PIMA COTTON SHELL FILL: 100% POLYESTER</t>
  </si>
  <si>
    <t>646760135820</t>
  </si>
  <si>
    <t>Juicy Couture Velvet Gothic 3-Piece Queen Co Pink Queen</t>
  </si>
  <si>
    <t>JYZ010924</t>
  </si>
  <si>
    <t>JUICY/YMF CARPET INC</t>
  </si>
  <si>
    <t>86569351029</t>
  </si>
  <si>
    <t>Addison Park Sahara King 14pc Comforter se Black King</t>
  </si>
  <si>
    <t>MCH10-1721</t>
  </si>
  <si>
    <t>733001362999</t>
  </si>
  <si>
    <t>Martha Stewart Collection LAST ACT Medallion Tufted Vel Blush FullQueen</t>
  </si>
  <si>
    <t>100106021FQ</t>
  </si>
  <si>
    <t>689192618950</t>
  </si>
  <si>
    <t>Ella Jayne 15lb Reversible Anti-Anxiety W GreyPink</t>
  </si>
  <si>
    <t>EJHCFWT-GP-S-15</t>
  </si>
  <si>
    <t>19213817107</t>
  </si>
  <si>
    <t>Ac Pacific AC Pacific Polyester Medium Wa White</t>
  </si>
  <si>
    <t>COMFORT-T</t>
  </si>
  <si>
    <t>AC PACIFIC CORPORATION</t>
  </si>
  <si>
    <t>735837077504</t>
  </si>
  <si>
    <t>Hotel Collection 500 Thread count Mattress Pa White California King</t>
  </si>
  <si>
    <t>2404HMPC</t>
  </si>
  <si>
    <t>TOP/BOTTOM: COTTON; FILL/SKIRT: POLYESTER</t>
  </si>
  <si>
    <t>788904100070</t>
  </si>
  <si>
    <t>Kathy Ireland Kathy Ireland Essentials White White FullQueen</t>
  </si>
  <si>
    <t>KI007452</t>
  </si>
  <si>
    <t>706258088677</t>
  </si>
  <si>
    <t>Charter Club Damask Supima Cotton 550-Threa Pomegranate Burgundy King</t>
  </si>
  <si>
    <t>DLDSLKGSPOM</t>
  </si>
  <si>
    <t>800014145007</t>
  </si>
  <si>
    <t>Ellison First Asia Aileen 8-Pc. Queen Comforter S Grey Queen</t>
  </si>
  <si>
    <t>19331803BB</t>
  </si>
  <si>
    <t>ELLISON FIRST ASIA LLC</t>
  </si>
  <si>
    <t>733001335252</t>
  </si>
  <si>
    <t>Charter Club Damask Designs Supima Cotton 5 Grey Queen</t>
  </si>
  <si>
    <t>100108503QN</t>
  </si>
  <si>
    <t>706258049937</t>
  </si>
  <si>
    <t>Charter Club Damask Supima Cotton 550-Threa Mint Queen</t>
  </si>
  <si>
    <t>DLLSLQNSMNT</t>
  </si>
  <si>
    <t>733001832713</t>
  </si>
  <si>
    <t>Charter Club Damask Supima Cotton 550-Threa Winter Pine Green Queen</t>
  </si>
  <si>
    <t>DLDSLQNSPNE</t>
  </si>
  <si>
    <t>706258050773</t>
  </si>
  <si>
    <t>Charter Club Damask Stripe Supima Cotton 55 White Queen</t>
  </si>
  <si>
    <t>DLLSTQNSWHT</t>
  </si>
  <si>
    <t>706256059051</t>
  </si>
  <si>
    <t>Hotel Collection Hotel Collection Waffle Bath R Mica ML</t>
  </si>
  <si>
    <t>HTLWAFRMIC</t>
  </si>
  <si>
    <t>64247027114</t>
  </si>
  <si>
    <t>Exclusive Home Exclusive Home Curtains Kochi Indigo 54x84</t>
  </si>
  <si>
    <t>EH8407 54X84</t>
  </si>
  <si>
    <t>EXCLUSIVE HOME/AMALGAMATED TEXTILES</t>
  </si>
  <si>
    <t>POLYESTER, LINEN</t>
  </si>
  <si>
    <t>784851506071</t>
  </si>
  <si>
    <t>Elegant Comfort Elegant Comfort Luxury 3-Piece Medium Red FullQueen</t>
  </si>
  <si>
    <t>MAJESTICQUILTSQUEENB</t>
  </si>
  <si>
    <t>29927575484</t>
  </si>
  <si>
    <t>Scott Living Scott Living Montauk Art Deco Navy 50 x 84</t>
  </si>
  <si>
    <t>733001039600</t>
  </si>
  <si>
    <t>Martha Stewart Collection Wyoming Plaid Full Queen Duvet Maroon Combo FullQueen</t>
  </si>
  <si>
    <t>100094873FQ</t>
  </si>
  <si>
    <t>657812169762</t>
  </si>
  <si>
    <t>Biddeford Comfort Knit Fleece Electric F Fawn Full</t>
  </si>
  <si>
    <t>1001-9052277706</t>
  </si>
  <si>
    <t>BIDDEFORD BLANKETS LLC</t>
  </si>
  <si>
    <t>657812169786</t>
  </si>
  <si>
    <t>Biddeford Comfort Knit Fleece Electric F Grey Plaid Full</t>
  </si>
  <si>
    <t>1001-9052277903</t>
  </si>
  <si>
    <t>732996468082</t>
  </si>
  <si>
    <t>Hotel Collection Classic Roseblush Quilted King Blush European Sham</t>
  </si>
  <si>
    <t>100072048ER</t>
  </si>
  <si>
    <t>675716375577</t>
  </si>
  <si>
    <t>Echo Echo Odyssey 16 x 16 Square Brown Polka Dot</t>
  </si>
  <si>
    <t>EO30-548</t>
  </si>
  <si>
    <t>ECHO/JLA HOME/E &amp; E CO LTD</t>
  </si>
  <si>
    <t>COTTON; POLYESTER FILL</t>
  </si>
  <si>
    <t>679610813371</t>
  </si>
  <si>
    <t>Hallmart Collectibles Ada 12-Pc. Comforter Sets Fuchsia Queen</t>
  </si>
  <si>
    <t>734737422971</t>
  </si>
  <si>
    <t>Fairfield Square Collection Austin 8-Pc. Reversible Comfor Red California King</t>
  </si>
  <si>
    <t>15977429V</t>
  </si>
  <si>
    <t>732995626865</t>
  </si>
  <si>
    <t>Hotel Collection Woodrose Cotton 400-Thread Cou Medium Pink Standard Sham</t>
  </si>
  <si>
    <t>100041751SD</t>
  </si>
  <si>
    <t>733001083351</t>
  </si>
  <si>
    <t>Hotel Collection Contour Velvet King Sham, Crea Champagne King Sham</t>
  </si>
  <si>
    <t>100099776KG</t>
  </si>
  <si>
    <t>706258547969</t>
  </si>
  <si>
    <t>Martha Stewart Collection Cotton Percale 400-Thread Coun Moon Gray Twin</t>
  </si>
  <si>
    <t>T4TWSMOON</t>
  </si>
  <si>
    <t>848742076415</t>
  </si>
  <si>
    <t>Lush Decor Tanisha 72 x 72 Shower Curta Purple 72X72</t>
  </si>
  <si>
    <t>16T003367</t>
  </si>
  <si>
    <t>816651021925</t>
  </si>
  <si>
    <t>ienjoy Home Elegant Designs Patterned Duve Aqua Vines FullQueen</t>
  </si>
  <si>
    <t>DUVVINEQIENJ</t>
  </si>
  <si>
    <t>635983498997</t>
  </si>
  <si>
    <t>Ella Jayne Soft Plush Gusseted Soft Gel F White Queen</t>
  </si>
  <si>
    <t>BMI9449L3</t>
  </si>
  <si>
    <t>754069200382</t>
  </si>
  <si>
    <t>American Heritage Textiles Willow Quilt Collection, Acces Multi</t>
  </si>
  <si>
    <t>Y20038</t>
  </si>
  <si>
    <t>70X52</t>
  </si>
  <si>
    <t>DONNA SHARP/AMERICAN HERITAGE TXTL</t>
  </si>
  <si>
    <t>732999620067</t>
  </si>
  <si>
    <t>Martha Stewart Collection Allergy Wise Dobby Stripe Pair White European</t>
  </si>
  <si>
    <t>100110402ER</t>
  </si>
  <si>
    <t>MARTHA STEWART-EDI/KEECO LLC</t>
  </si>
  <si>
    <t>783048124982</t>
  </si>
  <si>
    <t>Pem America Manilla Floral Twin 3PC Comfor Multi Twin</t>
  </si>
  <si>
    <t>CS3551TW-1540</t>
  </si>
  <si>
    <t>734737581401</t>
  </si>
  <si>
    <t>Sunham Poinsettia 2-Pc. Reversible Tw Deep Red Twin</t>
  </si>
  <si>
    <t>PINKOVERPL</t>
  </si>
  <si>
    <t>733002396528</t>
  </si>
  <si>
    <t>Charter Club Damask Stripe 500 Thread Cou Lake</t>
  </si>
  <si>
    <t>DML59SH787</t>
  </si>
  <si>
    <t>679610822601</t>
  </si>
  <si>
    <t>Hallmart Collectibles Ambrosia 2-Pc. Reversible Twin Aqua Twin</t>
  </si>
  <si>
    <t>819254028179</t>
  </si>
  <si>
    <t>Sara B. Christmas Ornaments Sherpa Thr Multi 50x60</t>
  </si>
  <si>
    <t>SB101MUOS</t>
  </si>
  <si>
    <t>NEW SEGA HOME TEXTILES</t>
  </si>
  <si>
    <t>190714398811</t>
  </si>
  <si>
    <t>Lacourte Lacourte 20 x 20 Bow Wrapped Red 20x20</t>
  </si>
  <si>
    <t>1129367RED20X20</t>
  </si>
  <si>
    <t>675716586027</t>
  </si>
  <si>
    <t>Martha Stewart Collection Martha Stewart Soft Fleece Que Blue Fog FullQueen</t>
  </si>
  <si>
    <t>MSFLEECEFLB</t>
  </si>
  <si>
    <t>29927577983</t>
  </si>
  <si>
    <t>Sun Zero Sun Zero Preston Blackout Tab Teal 40x63</t>
  </si>
  <si>
    <t>786696099053</t>
  </si>
  <si>
    <t>Aquadance High-Pressure Luxury 6-setting Oil Rubbed Bronze</t>
  </si>
  <si>
    <t>INTERLINK PRODUCTS</t>
  </si>
  <si>
    <t>HIGH-GRADE ABS PLASTIC</t>
  </si>
  <si>
    <t>29927509694</t>
  </si>
  <si>
    <t>Sun Zero Lichtenberg Sun Zero Grant Sol Grey 54x84</t>
  </si>
  <si>
    <t>732998368625</t>
  </si>
  <si>
    <t>Martha Stewart Collection Sherpa Heart Decorative Pillow Blue 18x18</t>
  </si>
  <si>
    <t>646998648703</t>
  </si>
  <si>
    <t>Curtainworks Chevron Ruffle 42 x 95 Rod P White 42x95</t>
  </si>
  <si>
    <t>1-40490AWT</t>
  </si>
  <si>
    <t>CHF INDUSTRIES INC</t>
  </si>
  <si>
    <t>788904037994</t>
  </si>
  <si>
    <t>Royal Luxe StandardQueen Pillow White StandardQueen</t>
  </si>
  <si>
    <t>COVER: 240TC COTTON; FILL: 42OZ HYPOALLERGENIC WATERFOWL FEATHERS</t>
  </si>
  <si>
    <t>788904127824</t>
  </si>
  <si>
    <t>Blue Ridge Reversible Micromink to Faux-S Blue Throw</t>
  </si>
  <si>
    <t>EL418242</t>
  </si>
  <si>
    <t>760028583113</t>
  </si>
  <si>
    <t>Beautyrest Quilted Comfort Luxium M White</t>
  </si>
  <si>
    <t>2615BRPIN-8J</t>
  </si>
  <si>
    <t>PEGASUS HOME FASHIONS</t>
  </si>
  <si>
    <t>706258090229</t>
  </si>
  <si>
    <t>Charter Club Damask Supima Cotton 550-Threa White Standard Pillowcases</t>
  </si>
  <si>
    <t>DLLSLSPCWHT</t>
  </si>
  <si>
    <t>21864391219</t>
  </si>
  <si>
    <t>Avanti Herringbone Hand Twoel White ONE SIZE</t>
  </si>
  <si>
    <t>023202WHT</t>
  </si>
  <si>
    <t>732998768128</t>
  </si>
  <si>
    <t>Home Design Cotton 27.6 x 54 Bath Towel Dove Bath Towels</t>
  </si>
  <si>
    <t>HOME DESIGN STUDIO-EDI/WELSPUN</t>
  </si>
  <si>
    <t>25521262270</t>
  </si>
  <si>
    <t>CK DOWN DISPLAY XFIRM BASIC</t>
  </si>
  <si>
    <t>26227FN</t>
  </si>
  <si>
    <t>732997142998</t>
  </si>
  <si>
    <t>Hotel Collection CLOSEOUT Hotel Collection Dec Gold FullQueen</t>
  </si>
  <si>
    <t>100057818FQ</t>
  </si>
  <si>
    <t>FRONT: COTTON/POLYESTER; BACK: COTTON; EMBROIDERY: POLYESTER/METALLIC</t>
  </si>
  <si>
    <t>191790031401</t>
  </si>
  <si>
    <t>AQ Textiles Bergen House Woven Floral Vine Blush King</t>
  </si>
  <si>
    <t>23912104139AQT</t>
  </si>
  <si>
    <t>734737636927</t>
  </si>
  <si>
    <t>Sunham Huntington Red K CS Red King</t>
  </si>
  <si>
    <t>679610808360</t>
  </si>
  <si>
    <t>Hallmart Collectibles Hedron 14-Pc. Queen Comforter Gold Queen</t>
  </si>
  <si>
    <t>FIBER: 100% POLYESTER EXCLUSIVE OF DECORATION; FILLING: 100% POLYESTER; THROW: 90% ACRYLIC, 10% POLYESTER; SHEETS: 100% COTTON</t>
  </si>
  <si>
    <t>883893509306</t>
  </si>
  <si>
    <t>Eddie Bauer Kingston Charcoal Comforter Se Charcoal FullQueen</t>
  </si>
  <si>
    <t>EDDIE BAUER/REVMAN INTERNATIONAL</t>
  </si>
  <si>
    <t>675716673956</t>
  </si>
  <si>
    <t>Madison Park Essentials Merritt Reversible TaupeWhite Queen</t>
  </si>
  <si>
    <t>MPE10-129</t>
  </si>
  <si>
    <t>COMFORTER/SHAM/BEDSKIRT: POLYESTER 85 GRAMS PER SQUARE METER; PILLOW (COVER): POLYESTER; SHEETS: COTTON; THREAD COUNT: 180; PILLOW FILL: POLYESTER; COMFORTER FILL: POLYESTER 250 GRAMS PER SQUARE METER</t>
  </si>
  <si>
    <t>788904004415</t>
  </si>
  <si>
    <t>Scott Living Scott Living Natural Blend Fea White FullQueen</t>
  </si>
  <si>
    <t>SL007522</t>
  </si>
  <si>
    <t>91116688794</t>
  </si>
  <si>
    <t>Sanders Pom Pom 7 Piece Queen Size Com Grey Queen</t>
  </si>
  <si>
    <t>PMMCSQ1</t>
  </si>
  <si>
    <t>86569289735</t>
  </si>
  <si>
    <t>JLA Home 510 Design Ramsey California K Grey California King</t>
  </si>
  <si>
    <t>5DS10-0220</t>
  </si>
  <si>
    <t>COMFORTER/SHAM/BEDSKIRT DROP/DECORATIVE PILLOW/EURO SHAM - 85GSM POLYESTER MICROFIBER, BEDSKIRT PLATFORM - POLYPROPYLENE NON-WOVEN FABRIC, COMFORTER/DECORATIVE PILLOW FILL - 100% POLYESTER</t>
  </si>
  <si>
    <t>750105138657</t>
  </si>
  <si>
    <t>Charter Club Soft King Down Pillow White King</t>
  </si>
  <si>
    <t>FEDP0840WK</t>
  </si>
  <si>
    <t>REMOVABLE OUTER COVER: 100% COTTON</t>
  </si>
  <si>
    <t>191790028852</t>
  </si>
  <si>
    <t>Fairfield Square Collection Hampton Cotton 650-Thread Coun Ivory Queen</t>
  </si>
  <si>
    <t>24002103003AQT</t>
  </si>
  <si>
    <t>883893618176</t>
  </si>
  <si>
    <t>Eddie Bauer Eddie Bauer Queen Flannel Shee Elk Grove Queen</t>
  </si>
  <si>
    <t>86569302199</t>
  </si>
  <si>
    <t>Intelligent Design Annie 4 Piece FullQueen Solid Grey FullQueen</t>
  </si>
  <si>
    <t>ID10-1839</t>
  </si>
  <si>
    <t>COMFORTER/SHAM: POLYESTER SOLID CLIPPED JACQUARD FABRIC WITH SEERSUCKER ON FACE, SOLID POLYESTER MICROFIBER REVERSE; PILLOW: POLYESTER BRUSHED FABRIC COVER; COMFORTER AND DECORATIVE PILLOW WITH POLYESTER FILLING</t>
  </si>
  <si>
    <t>675716904975</t>
  </si>
  <si>
    <t>Urban Habitat Kids Cloud 4-Pc. Printed Twin Blue TwinTwin XL</t>
  </si>
  <si>
    <t>UHK10-0017</t>
  </si>
  <si>
    <t>COMFORTER/SHAM: COTTON; REVERSES TO COTTON THREAD COUNT: 144COMFORTER: POLYESTER FILL 220 GRAMS PER SQUARE METERPILLOW: COTTON; POLYESTER FILL THREAD COUNT: 144</t>
  </si>
  <si>
    <t>784851506972</t>
  </si>
  <si>
    <t>Elegant Comfort Elegant Comfort All - Season D Light Purp KingCalifornia King</t>
  </si>
  <si>
    <t>COMFORTER KINGLILAC</t>
  </si>
  <si>
    <t>706257404348</t>
  </si>
  <si>
    <t>68H22KGFT</t>
  </si>
  <si>
    <t>KGBOTTOMFT</t>
  </si>
  <si>
    <t>840008370510</t>
  </si>
  <si>
    <t>Dr. Oz Good Life Dr. Oz Good Life Say Goodnight White King</t>
  </si>
  <si>
    <t>OZGLKKMPVGB</t>
  </si>
  <si>
    <t>844353616118</t>
  </si>
  <si>
    <t>Rizzy Home Rizzy Home 18 x 18 Botanical Natural</t>
  </si>
  <si>
    <t>PILT07842CR001818</t>
  </si>
  <si>
    <t>RIZZY HOME/RIZTEX USA INC</t>
  </si>
  <si>
    <t>COTTON,WOOL</t>
  </si>
  <si>
    <t>675716682774</t>
  </si>
  <si>
    <t>Madison Park Saratoga 100 x 84 Fretwork-P Blue 100x84</t>
  </si>
  <si>
    <t>MP40-2025</t>
  </si>
  <si>
    <t>FABRIC: POLYESTER/COTTON/RAYON</t>
  </si>
  <si>
    <t>732998018667</t>
  </si>
  <si>
    <t>Charter Club Damask Designs White Chunky 50 Grey</t>
  </si>
  <si>
    <t>783048018885</t>
  </si>
  <si>
    <t>Vince Camuto Home Vince Camuto Lyon 16 x 32 Bo Grey And White ONE SIZE</t>
  </si>
  <si>
    <t>CF9788GYP1-1400</t>
  </si>
  <si>
    <t>PILLOW COVER IS 100% POLYESTER. INNER PILLOW IS FILLED WITH 95% FEATHER AND 5% DOWN WITH 100% COTTON SHELL.</t>
  </si>
  <si>
    <t>733001335153</t>
  </si>
  <si>
    <t>Charter Club Damask Designs 550-Thread Coun Poppy Twin</t>
  </si>
  <si>
    <t>100108502TW</t>
  </si>
  <si>
    <t>734737619418</t>
  </si>
  <si>
    <t>Fairfield Square Collection Viola Reversible 8-Pc. Comfort Pink Full</t>
  </si>
  <si>
    <t>734737532717</t>
  </si>
  <si>
    <t>Fairfield Square Collection Paris Gold 8-Pc. Reversible Qu White Full</t>
  </si>
  <si>
    <t>18393124NCPV</t>
  </si>
  <si>
    <t>783048128188</t>
  </si>
  <si>
    <t>Pem America Modern Stripe 8-Pc. Queen Comf Multi Queen</t>
  </si>
  <si>
    <t>BIB3607QN-3240</t>
  </si>
  <si>
    <t>733001487470</t>
  </si>
  <si>
    <t>Martha Stewart Collection Whim By Martha Stewart Collect Brunch Queen</t>
  </si>
  <si>
    <t>100103336QN</t>
  </si>
  <si>
    <t>840970154750</t>
  </si>
  <si>
    <t>Cathay Home Inc. Oversize Lightweight Quilt Set White FullQueen</t>
  </si>
  <si>
    <t>918915-FQ</t>
  </si>
  <si>
    <t>CATHAY HOME INC</t>
  </si>
  <si>
    <t>784851502981</t>
  </si>
  <si>
    <t>Elegant Comfort Elegant Comfort 6-Piece Luxury Open Blue Queen</t>
  </si>
  <si>
    <t>6PCSTRIPEQUEEN TURQU</t>
  </si>
  <si>
    <t>734737517578</t>
  </si>
  <si>
    <t>Lacoste Home Solid Percale Twin Sheet Set Light Grey Twin</t>
  </si>
  <si>
    <t>COTTON PERCALE</t>
  </si>
  <si>
    <t>675716589011</t>
  </si>
  <si>
    <t>Madison Park Madison Park Serene 72 x 72 Blue 72X72</t>
  </si>
  <si>
    <t>MP70-1392</t>
  </si>
  <si>
    <t>10482885002</t>
  </si>
  <si>
    <t>Levinsohn Textiles Ruffled Eyelet 18 Bed Skirt, White Full</t>
  </si>
  <si>
    <t>FRE30018WHIT02</t>
  </si>
  <si>
    <t>675716826611</t>
  </si>
  <si>
    <t>Madison Park Madison Park Anna 72 x 72 Sh Grey 72X72</t>
  </si>
  <si>
    <t>MP70-3467</t>
  </si>
  <si>
    <t>733001428565</t>
  </si>
  <si>
    <t>Martha Stewart Collection Essentials 200-Thread Count Ho Fair Isle Queen</t>
  </si>
  <si>
    <t>100108332QN</t>
  </si>
  <si>
    <t>750105168975</t>
  </si>
  <si>
    <t>Tommy Bahama Home Ultimate Comfort Set of Two St White Queen</t>
  </si>
  <si>
    <t>PI50011Q</t>
  </si>
  <si>
    <t>675716624941</t>
  </si>
  <si>
    <t>Madison Park Saratoga 50 x 63 Fretwork-Pr Blue 50x63</t>
  </si>
  <si>
    <t>MP40-1571</t>
  </si>
  <si>
    <t>BODY: POLYESTER/COTTON/RAYON</t>
  </si>
  <si>
    <t>86569959140</t>
  </si>
  <si>
    <t>SunSmart Blakesly 50 x 63 Textured Og Aqua 50x63</t>
  </si>
  <si>
    <t>SS40-0068</t>
  </si>
  <si>
    <t>96675641006</t>
  </si>
  <si>
    <t>SensorPEDIC Gel-Overlay Memory Foam Comfor White Standard</t>
  </si>
  <si>
    <t>RAYON/POLYESTER</t>
  </si>
  <si>
    <t>81675609156</t>
  </si>
  <si>
    <t>BCBGMAXAZRIA Chunky Stripe Cotton 72 x 72 Blue</t>
  </si>
  <si>
    <t>BCBG0023SW</t>
  </si>
  <si>
    <t>PBS HOME GOODS</t>
  </si>
  <si>
    <t>29927565089</t>
  </si>
  <si>
    <t>No. 918 No. 918 Delia 50 x 63 Embroi Ivory 50x63</t>
  </si>
  <si>
    <t>42694358906</t>
  </si>
  <si>
    <t>Charter Club Classic Bath Rug Azure 21 x 34</t>
  </si>
  <si>
    <t>Y3222-535-021034</t>
  </si>
  <si>
    <t>29927553710</t>
  </si>
  <si>
    <t>Sun Zero Sun Zero Preston 40 x 63 Gro Teal 40x63</t>
  </si>
  <si>
    <t>848971029275</t>
  </si>
  <si>
    <t>MATTRESS TOPPER</t>
  </si>
  <si>
    <t>671826987099</t>
  </si>
  <si>
    <t>F. Scott Fitzgerald F Scott Fitzgerald Star Attrac Dark Grey Queen</t>
  </si>
  <si>
    <t>SANI-XDUQN6</t>
  </si>
  <si>
    <t>750105134437</t>
  </si>
  <si>
    <t>Charter Club European White Down Medium Wei White King</t>
  </si>
  <si>
    <t>FEDC0820WK</t>
  </si>
  <si>
    <t>42075573645</t>
  </si>
  <si>
    <t>Peri Home Peri Home Vintage Tile FullQu Linen FullQueen</t>
  </si>
  <si>
    <t>2-2131C3LE</t>
  </si>
  <si>
    <t>766195504784</t>
  </si>
  <si>
    <t>Tommy Hilfiger Ashcolt Reversible 3-Pc. Strip Navy FullQueen</t>
  </si>
  <si>
    <t>17T1124-FQ-N1-O1</t>
  </si>
  <si>
    <t>FABRIC: COTTON/POLYESTER; THREAD COUNT: 144 (REVERSE)</t>
  </si>
  <si>
    <t>750105134376</t>
  </si>
  <si>
    <t>Charter Club European White Down Lightweigh White FullQueen</t>
  </si>
  <si>
    <t>FEDC0810WQ</t>
  </si>
  <si>
    <t>83013006542</t>
  </si>
  <si>
    <t>Croscill Croscill Ashton 84 Curtain Pa Multi ONE SIZE</t>
  </si>
  <si>
    <t>2J0-401P0-1470</t>
  </si>
  <si>
    <t>8681619870714</t>
  </si>
  <si>
    <t>ARUS ARUS Womens Organic Hooded Fu White Large</t>
  </si>
  <si>
    <t>WOMORGCOTHOODBATH L</t>
  </si>
  <si>
    <t>849043009294</t>
  </si>
  <si>
    <t>Moes Home Collection LAMB FUR PILLOW CREAM Cream</t>
  </si>
  <si>
    <t>XU-1000-05</t>
  </si>
  <si>
    <t>MOE'S HOME COLLECTION</t>
  </si>
  <si>
    <t>FRONT- WOOL, BACK- POLYESTER, POLYESTER INSERT</t>
  </si>
  <si>
    <t>732994620512</t>
  </si>
  <si>
    <t>Charter Club Damask Designs Embroidered Lat Navy King</t>
  </si>
  <si>
    <t>100021989KG</t>
  </si>
  <si>
    <t>FABRIC: 100% COTTON; THREAD COUNT: 300</t>
  </si>
  <si>
    <t>733001386919</t>
  </si>
  <si>
    <t>Charter Club Damask Velvet 3 pc FullQueen Red FullQueen</t>
  </si>
  <si>
    <t>732999755721</t>
  </si>
  <si>
    <t>Martha Stewart Collection Reversible 3-Pc. Crushed Velve Grey King</t>
  </si>
  <si>
    <t>100104075KG</t>
  </si>
  <si>
    <t>732994200592</t>
  </si>
  <si>
    <t>Martha Stewart Collection Rustic Reversible Yarn-Dyed St Grey FullQueen</t>
  </si>
  <si>
    <t>YDRUSTCFQ</t>
  </si>
  <si>
    <t>SHELL: COTTON; FILL: COTTON</t>
  </si>
  <si>
    <t>726895164237</t>
  </si>
  <si>
    <t>Martha Stewart Collection Stenciled Leaves Twin Quilt White TwinTwin XL</t>
  </si>
  <si>
    <t>100037784TW</t>
  </si>
  <si>
    <t>732997262931</t>
  </si>
  <si>
    <t>Charter Club Damask Designs 500 Thread Coun Inverted Smoke Queen</t>
  </si>
  <si>
    <t>100068408QN</t>
  </si>
  <si>
    <t>732999755714</t>
  </si>
  <si>
    <t>Martha Stewart Collection Reversible 3-Pc. Crushed Velve Grey FullQueen</t>
  </si>
  <si>
    <t>100104075FQ</t>
  </si>
  <si>
    <t>733001639572</t>
  </si>
  <si>
    <t>Charter Club Damask Supima Cotton 550-Threa Navy Queen</t>
  </si>
  <si>
    <t>DLDSLQNSNVP</t>
  </si>
  <si>
    <t>733001448648</t>
  </si>
  <si>
    <t>Charter Club Damask Designs Garden Manor Co Red FullQueen</t>
  </si>
  <si>
    <t>100104274FQ</t>
  </si>
  <si>
    <t>814760027180</t>
  </si>
  <si>
    <t>ienjoy Home Home Collection Luxury Ultra P White Full</t>
  </si>
  <si>
    <t>MATTPADFIENJ</t>
  </si>
  <si>
    <t>733001348795</t>
  </si>
  <si>
    <t>Martha Stewart Collection Sweater Knit Fur Throw Haute Red 50x60</t>
  </si>
  <si>
    <t>SHELL FRONT: ACRYLIC; SHELL BACK: POLYESTER; FAUX FUR TRIM: MODACRYLIC/POLYESTER</t>
  </si>
  <si>
    <t>788904802271</t>
  </si>
  <si>
    <t>Serta White Down Fiber Pillow-Side S White King</t>
  </si>
  <si>
    <t>SE229304</t>
  </si>
  <si>
    <t>191790038806</t>
  </si>
  <si>
    <t>AQ Textiles Luxura Home 650 thread count C Blue Queen</t>
  </si>
  <si>
    <t>25172103002AQT</t>
  </si>
  <si>
    <t>732998761914</t>
  </si>
  <si>
    <t>Charter Club Bamboo 300-Thread Count 4-Pc. Winter White Queen</t>
  </si>
  <si>
    <t>100086009QN</t>
  </si>
  <si>
    <t>FABRIC: VISCOSE FROM BAMBOO/COTTON; THREAD COUNT: 300</t>
  </si>
  <si>
    <t>732997147177</t>
  </si>
  <si>
    <t>Charter Club Oak Leaf 3-Pc. King Duvet Set Green King</t>
  </si>
  <si>
    <t>100058466KG</t>
  </si>
  <si>
    <t>840073622156</t>
  </si>
  <si>
    <t>CLARA CLARK CLARA CLARK Premier 1800 Serie Pink King Split</t>
  </si>
  <si>
    <t>MC-18-SHEET-SK</t>
  </si>
  <si>
    <t>SANDERS COLLECTION</t>
  </si>
  <si>
    <t>MICROFIBER POLYESTER</t>
  </si>
  <si>
    <t>734737475175</t>
  </si>
  <si>
    <t>Lacoste Mens Fairplay Cotton Bath Rob White ONE SIZE</t>
  </si>
  <si>
    <t>RB16756N01OS</t>
  </si>
  <si>
    <t>22"X21"</t>
  </si>
  <si>
    <t>732996839622</t>
  </si>
  <si>
    <t>AVERY 20X20 CORD DP</t>
  </si>
  <si>
    <t>100060677DP</t>
  </si>
  <si>
    <t>SKY TEXTILES-BLM</t>
  </si>
  <si>
    <t>COVER: 100% COTTON; FILL: 100% POLYESTER</t>
  </si>
  <si>
    <t>816651024742</t>
  </si>
  <si>
    <t>ienjoy Home Home Collection Premium Ultra White Twin</t>
  </si>
  <si>
    <t>QLTHERTIENJ</t>
  </si>
  <si>
    <t>783048131935</t>
  </si>
  <si>
    <t>Pem America Chambray Plaid Queen 8PC Comf Multi Queen</t>
  </si>
  <si>
    <t>BIB3719QN-3240</t>
  </si>
  <si>
    <t>783048124777</t>
  </si>
  <si>
    <t>Pem America Floral Bouquet Queen 8PC Comfo Purple Queen</t>
  </si>
  <si>
    <t>BIB3546QN-3240</t>
  </si>
  <si>
    <t>784851504404</t>
  </si>
  <si>
    <t>Elegant Comfort Elegant Comfort Luxurious Silk Green KingCalifornia King</t>
  </si>
  <si>
    <t>STRIPE DUVET KING GR</t>
  </si>
  <si>
    <t>733001487418</t>
  </si>
  <si>
    <t>Martha Stewart Collection Whim By Martha Stewart Collect NYC Queen</t>
  </si>
  <si>
    <t>100103335QN</t>
  </si>
  <si>
    <t>636047329851</t>
  </si>
  <si>
    <t>Greenland Home Fashions Southwest Throw 50 x 60 Multi Throw</t>
  </si>
  <si>
    <t>GL-THROWSW</t>
  </si>
  <si>
    <t>602545144524</t>
  </si>
  <si>
    <t>Chesapeake Alloy Bath Rug Set Grey</t>
  </si>
  <si>
    <t>CHESAPEAKE MERCHANDISING INC</t>
  </si>
  <si>
    <t>732997629345</t>
  </si>
  <si>
    <t>Charter Club Damask Designs Honeycomb 50 x Red Throw</t>
  </si>
  <si>
    <t>840008370503</t>
  </si>
  <si>
    <t>Dr. Oz Good Life Dr. Oz Good Life Stay the Nigh White Standard</t>
  </si>
  <si>
    <t>OZGLSSHFSD</t>
  </si>
  <si>
    <t>788904130107</t>
  </si>
  <si>
    <t>Royal Luxe Royal Luxe Microfiber Color Do Cream King</t>
  </si>
  <si>
    <t>726895578256</t>
  </si>
  <si>
    <t>Martha Stewart Collection Solid Open Stock 400-Thread Co Pool Blue King Fitted</t>
  </si>
  <si>
    <t>10021050KG</t>
  </si>
  <si>
    <t>740275051153</t>
  </si>
  <si>
    <t>Sharper Image Therma Comfort Aromatherapy Ne Blue</t>
  </si>
  <si>
    <t>TC011106</t>
  </si>
  <si>
    <t>ALLSTAR PRODUCTS GROUP</t>
  </si>
  <si>
    <t>POLYESTER/ TERRACOTTA CLAY/ FLAXSEED/ LAVENDER/ MINT</t>
  </si>
  <si>
    <t>766360449483</t>
  </si>
  <si>
    <t>Hotel Collection Turkish 30 x 56 Bath Towel White Bath Towels</t>
  </si>
  <si>
    <t>HTLTURBWHT</t>
  </si>
  <si>
    <t>636189943939</t>
  </si>
  <si>
    <t>Hotel Collection Turkish 30 x 56 Bath Towel Atomic Bath Towels</t>
  </si>
  <si>
    <t>HTLTURBATM</t>
  </si>
  <si>
    <t>29927450699</t>
  </si>
  <si>
    <t>No. 918 Bimini Textured Floral 51 x 6 Coral 51x63</t>
  </si>
  <si>
    <t>812209028798</t>
  </si>
  <si>
    <t>Sleeping Partners Tadpoles Luxe Plush Baby Blank Gray</t>
  </si>
  <si>
    <t>BBLBFC023</t>
  </si>
  <si>
    <t>732998302896</t>
  </si>
  <si>
    <t>Hotel Collection Ultimate MicroCotton 30 x 5 Chinaberry Bath Towels</t>
  </si>
  <si>
    <t>HTLMCBCHB</t>
  </si>
  <si>
    <t>MEDIUN RED</t>
  </si>
  <si>
    <t>732998816614</t>
  </si>
  <si>
    <t>TURKISH HAND</t>
  </si>
  <si>
    <t>HPFTURH</t>
  </si>
  <si>
    <t>HUDSON PARK</t>
  </si>
  <si>
    <t>MADE IN TURKEY</t>
  </si>
  <si>
    <t>85214121161</t>
  </si>
  <si>
    <t>Disney Disney Mickey Mouse Baby Blank Gray ONE SIZE</t>
  </si>
  <si>
    <t>766360449728</t>
  </si>
  <si>
    <t>Hotel Collection Turkish 13 Square Washcloth White Washcloths</t>
  </si>
  <si>
    <t>HTLTURWWHT</t>
  </si>
  <si>
    <t>780870732811</t>
  </si>
  <si>
    <t>MARTINO</t>
  </si>
  <si>
    <t>5776FQDCCDT</t>
  </si>
  <si>
    <t>SFERRA FINE LINENS LLC</t>
  </si>
  <si>
    <t>MADE IN ITALY</t>
  </si>
  <si>
    <t>100% LONG-STAPLE COTTON</t>
  </si>
  <si>
    <t>766195504821</t>
  </si>
  <si>
    <t>Tommy Hilfiger Ashcolt Reversible 3-Pc. Strip Navy King</t>
  </si>
  <si>
    <t>15T1124-KG-N1-O1</t>
  </si>
  <si>
    <t>766195463586</t>
  </si>
  <si>
    <t>Tommy Hilfiger Broadmoor Cotton Reversible Fl GreyCream FullQueen</t>
  </si>
  <si>
    <t>084707TH002</t>
  </si>
  <si>
    <t>732995601046</t>
  </si>
  <si>
    <t>FL WIDE LEG PANT</t>
  </si>
  <si>
    <t>100049711FQ</t>
  </si>
  <si>
    <t>HUDSON PARK-EDI/RWI/VTX</t>
  </si>
  <si>
    <t>783048063953</t>
  </si>
  <si>
    <t>Christian Siriano New York Christian Siriano Pretty Petal Grey FullQueen</t>
  </si>
  <si>
    <t>CS2738GYFQ-1500</t>
  </si>
  <si>
    <t>CHRISTIAN SIRIANO HOME/PEM AMERICA</t>
  </si>
  <si>
    <t>859110002721</t>
  </si>
  <si>
    <t>BedVoyage Luxury Bamboo Sheets - 4 Piece Ivory Twin XL</t>
  </si>
  <si>
    <t>BEDVOYAGE</t>
  </si>
  <si>
    <t>100% RAYON FROM BAMBOO</t>
  </si>
  <si>
    <t>766195485618</t>
  </si>
  <si>
    <t>Tommy Hilfiger Laurel Dobby 2-Pc. Twin Comfor Cream Twin</t>
  </si>
  <si>
    <t>110379TH004</t>
  </si>
  <si>
    <t>COTTON; FILL: POLYESTER FIBER</t>
  </si>
  <si>
    <t>706257204627</t>
  </si>
  <si>
    <t>Hotel Collection Basic Cane Quilted Queen Cover White Queen</t>
  </si>
  <si>
    <t>CVC22QC790</t>
  </si>
  <si>
    <t>732995559422</t>
  </si>
  <si>
    <t>Charter Club Damask Designs Basket Stripe C White King</t>
  </si>
  <si>
    <t>100045793KG</t>
  </si>
  <si>
    <t>732999783007</t>
  </si>
  <si>
    <t>Martha Stewart Collection Gilded Floral Velvet TwinTwin Tan TwinTwin XL</t>
  </si>
  <si>
    <t>100106016TW</t>
  </si>
  <si>
    <t>96675611313</t>
  </si>
  <si>
    <t>SensorGel Sensor Gel SlumberMax Hybrid 4 White Twin</t>
  </si>
  <si>
    <t>732998385615</t>
  </si>
  <si>
    <t>Charter Club Damask Supima Cotton 550-Threa Mocha Coffee Queen</t>
  </si>
  <si>
    <t>DLDSLQDSCOF</t>
  </si>
  <si>
    <t>KHAKI</t>
  </si>
  <si>
    <t>ALL SUPIMA®COTTON</t>
  </si>
  <si>
    <t>608356985776</t>
  </si>
  <si>
    <t>Hotel Collection Cotton 680 Thread Count Full F Rosebud Full</t>
  </si>
  <si>
    <t>68R17FUFL</t>
  </si>
  <si>
    <t>608381352079</t>
  </si>
  <si>
    <t>Joseph &amp; Lyman Twill Shorts</t>
  </si>
  <si>
    <t>WTE4QNSS</t>
  </si>
  <si>
    <t>732997493953</t>
  </si>
  <si>
    <t>Charter Club Damask Cotton 550-Thread Count White FullQueen</t>
  </si>
  <si>
    <t>814026028777</t>
  </si>
  <si>
    <t>RAVATTI EURO</t>
  </si>
  <si>
    <t>BEU-RVTI-26</t>
  </si>
  <si>
    <t>100% COTTON VOILE</t>
  </si>
  <si>
    <t>754069200146</t>
  </si>
  <si>
    <t>American Heritage Textiles Red Forest Quilt Collection, T Multi Twin</t>
  </si>
  <si>
    <t>Y20014</t>
  </si>
  <si>
    <t>AMERICAN HERITAGE TEXTILE</t>
  </si>
  <si>
    <t>706258049555</t>
  </si>
  <si>
    <t>Charter Club Damask Supima Cotton 550-Threa Horizon Sky Blue Full</t>
  </si>
  <si>
    <t>DLLSLFLSHZN</t>
  </si>
  <si>
    <t>732996880181</t>
  </si>
  <si>
    <t>Martha Stewart Collection 100 Cotton Flannel 4-Pc. King Eclipse King</t>
  </si>
  <si>
    <t>100020869KG</t>
  </si>
  <si>
    <t>732996867717</t>
  </si>
  <si>
    <t>MARBLE FRAM 16X16 DP</t>
  </si>
  <si>
    <t>100068531DP</t>
  </si>
  <si>
    <t>COVER: 100% COTTON; EMBROIDERY/FILL: 100% POLYESTER</t>
  </si>
  <si>
    <t>706258090281</t>
  </si>
  <si>
    <t>Charter Club Damask Supima Cotton 550-Threa Parchment Beige Twin XL</t>
  </si>
  <si>
    <t>DLLSLTLSPAR</t>
  </si>
  <si>
    <t>850008881244</t>
  </si>
  <si>
    <t>NIGHT TRAV PILLOW</t>
  </si>
  <si>
    <t>F-STD-TRVL-01</t>
  </si>
  <si>
    <t>84 SGL</t>
  </si>
  <si>
    <t>DISCOVER NIGHT LLC</t>
  </si>
  <si>
    <t>FOAM: 100% POLYURETHANE; PILLOWCASE: 100% MULBERRY SILK</t>
  </si>
  <si>
    <t>733001281733</t>
  </si>
  <si>
    <t>Units</t>
  </si>
  <si>
    <t>Value</t>
  </si>
  <si>
    <t>UPC</t>
  </si>
  <si>
    <t>ITEM DESCRIPTION</t>
  </si>
  <si>
    <t>ORIGINAL QTY</t>
  </si>
  <si>
    <t>TOTAL ORIGINAL RETAIL</t>
  </si>
  <si>
    <t>VENDOR / STYLE #</t>
  </si>
  <si>
    <t>COLOR</t>
  </si>
  <si>
    <t>SIZE</t>
  </si>
  <si>
    <t>DEPARTMENT NAME</t>
  </si>
  <si>
    <t>VENDOR NAME</t>
  </si>
  <si>
    <t>COUNTRY OF ORIGIN</t>
  </si>
  <si>
    <t>FABRIC CONTENT</t>
  </si>
  <si>
    <t>IMAGE</t>
  </si>
  <si>
    <t>718498108220</t>
  </si>
  <si>
    <t>Shavel Reversible Micro Flannel to Greystone King</t>
  </si>
  <si>
    <t>EBSHKGGRS</t>
  </si>
  <si>
    <t>MED GRAY</t>
  </si>
  <si>
    <t>PB BLANKETS</t>
  </si>
  <si>
    <t>MICRO FLANNEL/SHAVEL ASSOCIATES INC</t>
  </si>
  <si>
    <t>IMPORTED</t>
  </si>
  <si>
    <t>FABRIC AND FILL: POLYESTER</t>
  </si>
  <si>
    <t>732996465197</t>
  </si>
  <si>
    <t>Hotel Collection 680 Thread-Count King Duvet Co White King</t>
  </si>
  <si>
    <t>100067900KG</t>
  </si>
  <si>
    <t>WHITE</t>
  </si>
  <si>
    <t>KGCOMFORTE</t>
  </si>
  <si>
    <t>HOTEL LUX BDG</t>
  </si>
  <si>
    <t>HOTEL COLLECTION-MMG/HIMATSINGKA</t>
  </si>
  <si>
    <t>COTTON; FILL: POLYESTER</t>
  </si>
  <si>
    <t>8681619870639</t>
  </si>
  <si>
    <t>ARUS ARUS Mens Thick Full Ankle Le Gray X-Large</t>
  </si>
  <si>
    <t>MENCOTHOODNFULLB XL</t>
  </si>
  <si>
    <t>SILVER</t>
  </si>
  <si>
    <t>TOWELS</t>
  </si>
  <si>
    <t>ARUSA INTERNATIONAL INC</t>
  </si>
  <si>
    <t>750105134413</t>
  </si>
  <si>
    <t>Charter Club European White Down Medium Wei White FullQueen</t>
  </si>
  <si>
    <t>FEDC0820WQ</t>
  </si>
  <si>
    <t>PB COMFORTERS</t>
  </si>
  <si>
    <t>CHARTER CLUB-EDI/DOWNLITE INT'L</t>
  </si>
  <si>
    <t>MADE IN USA OF IMPORTED MATERIALS</t>
  </si>
  <si>
    <t>SHELL: 100% COTTON; FILL: DOWN; 600 FILL POWER</t>
  </si>
  <si>
    <t>732999788491</t>
  </si>
  <si>
    <t>Hotel Collection Parallel King Comforter, Creat Blue King</t>
  </si>
  <si>
    <t>100107263KG</t>
  </si>
  <si>
    <t>NAVY</t>
  </si>
  <si>
    <t>HOTEL COLLECTION-EDI/RWI/PACFUNG</t>
  </si>
  <si>
    <t>96675611337</t>
  </si>
  <si>
    <t>SensorGel Sensor Gel SlumberMax Hybrid 4 White Queen</t>
  </si>
  <si>
    <t>PILLWS&amp;PADS</t>
  </si>
  <si>
    <t>SOFT-TEX MFG CO/SOFT-TEX INT'L INC</t>
  </si>
  <si>
    <t>POLYESTER</t>
  </si>
  <si>
    <t>96675611320</t>
  </si>
  <si>
    <t>SensorGel Sensor Gel SlumberMax Hybrid 4 White Full</t>
  </si>
  <si>
    <t>883893685802</t>
  </si>
  <si>
    <t>Nautica Nautica Clement 3-Piece Quilt Beige FullQueen</t>
  </si>
  <si>
    <t>USHSA91161141</t>
  </si>
  <si>
    <t>BEIGE</t>
  </si>
  <si>
    <t>YOUNG CL HOME</t>
  </si>
  <si>
    <t>NAUTICA/REVMAN INTERNATIONAL</t>
  </si>
  <si>
    <t>636202611982</t>
  </si>
  <si>
    <t>Hotel Collection Hotel Collection 525 Thread Co White King</t>
  </si>
  <si>
    <t>5W18KSS790</t>
  </si>
  <si>
    <t>HOTEL BY C CLUB-EDI/RWI/KADRI MILLS</t>
  </si>
  <si>
    <t>FABRIC: 100% COTTON</t>
  </si>
  <si>
    <t>733001712947</t>
  </si>
  <si>
    <t>Martha Stewart Collection Holiday Yarn-Dye FullQueen Qu Red FullQueen</t>
  </si>
  <si>
    <t>100104003FQ</t>
  </si>
  <si>
    <t>MEDIUM RED</t>
  </si>
  <si>
    <t>PB SEASON BED</t>
  </si>
  <si>
    <t>MARTHA STEWART-MMG/COLLECTION 43417</t>
  </si>
  <si>
    <t>734737637283</t>
  </si>
  <si>
    <t>Sunham Willoughby 8-Pc. Reversible Ki Stone King</t>
  </si>
  <si>
    <t>MOD BEDDING</t>
  </si>
  <si>
    <t>SUNHAM CO USA</t>
  </si>
  <si>
    <t>732999755264</t>
  </si>
  <si>
    <t>Martha Stewart Collection Whim by Martha Stewart Collect Pink FullQueen</t>
  </si>
  <si>
    <t>100069907FQ</t>
  </si>
  <si>
    <t>DARK PINK</t>
  </si>
  <si>
    <t>MRTH STWRT WH</t>
  </si>
  <si>
    <t>E AND E CO/MARTHA STEWART-EDI-MMG</t>
  </si>
  <si>
    <t>788904113346</t>
  </si>
  <si>
    <t>Royal Luxe White Goose 240-Thread Count F White FullQueen</t>
  </si>
  <si>
    <t>DOWN COMFORTR</t>
  </si>
  <si>
    <t>BLUE RIDGE HOME FASHIONS</t>
  </si>
  <si>
    <t>788904001612</t>
  </si>
  <si>
    <t>Blue Ridge Pintuck Design Down Alternativ Taupe FullQueen</t>
  </si>
  <si>
    <t>BEIGEKHAKI</t>
  </si>
  <si>
    <t>NEO COLLECTNS</t>
  </si>
  <si>
    <t>706258547877</t>
  </si>
  <si>
    <t>Martha Stewart Collection Cotton Percale 400-Thread Coun Snowy Owl Queen</t>
  </si>
  <si>
    <t>T4QNSSNOWY</t>
  </si>
  <si>
    <t>MS COL SHEETS</t>
  </si>
  <si>
    <t>MARTHA STEWART-EDI/RWI/NAISHAT</t>
  </si>
  <si>
    <t>86569178794</t>
  </si>
  <si>
    <t>Madison Park Cotton 6-Pc. Towel Set Blue ONE SIZE</t>
  </si>
  <si>
    <t>MP73-6181</t>
  </si>
  <si>
    <t>JLA HOME/E &amp; E CO LTD</t>
  </si>
  <si>
    <t>706257253786</t>
  </si>
  <si>
    <t>Hotel Collection 680 Thread-Count King Bedskirt White King</t>
  </si>
  <si>
    <t>68W20KBS</t>
  </si>
  <si>
    <t>732995626858</t>
  </si>
  <si>
    <t>Hotel Collection Woodrose Cotton 400-Thread Cou Medium Pink King Sham</t>
  </si>
  <si>
    <t>100041751KG</t>
  </si>
  <si>
    <t>MED PINK</t>
  </si>
  <si>
    <t>651866099303</t>
  </si>
  <si>
    <t>Therapy Comfort Plush Weighted Blanket Grey ONE SIZE</t>
  </si>
  <si>
    <t>WB406610GREY</t>
  </si>
  <si>
    <t>25X28</t>
  </si>
  <si>
    <t>JGV APPAREL GROUP LLC</t>
  </si>
  <si>
    <t>SHELL: POLYESTER; FILL: CERAMIC BEADS/POLYESTER</t>
  </si>
  <si>
    <t>732999837601</t>
  </si>
  <si>
    <t>Martha Stewart Collection Solid Faux Fur Throw Pink 50x60</t>
  </si>
  <si>
    <t>MED BROWN</t>
  </si>
  <si>
    <t>VALA78X7</t>
  </si>
  <si>
    <t>DEC PIL/THRWS</t>
  </si>
  <si>
    <t>MARTHA STEWART-EDI/JLA HOME</t>
  </si>
  <si>
    <t>FAUX FUR: POLYESTER</t>
  </si>
  <si>
    <t>840008370527</t>
  </si>
  <si>
    <t>Dr. Oz Good Life Dr. Oz Good Life Say Goodnight White Standard</t>
  </si>
  <si>
    <t>OZGLSSMPVGB</t>
  </si>
  <si>
    <t>SINGLE</t>
  </si>
  <si>
    <t>MALOUF/CVB INC</t>
  </si>
  <si>
    <t>840008370541</t>
  </si>
  <si>
    <t>OZGLSSSCMPVGB</t>
  </si>
  <si>
    <t>819254022504</t>
  </si>
  <si>
    <t>Gizmo Kids Butterfly Dreams 3-Piece Comfo Multi Full</t>
  </si>
  <si>
    <t>GK23BD0002</t>
  </si>
  <si>
    <t>SARA B R27EN/NEW SEGA HOME TEXTILES</t>
  </si>
  <si>
    <t>732997393956</t>
  </si>
  <si>
    <t>Hotel Collection Primaloft 450-Thread Count Med White Standard</t>
  </si>
  <si>
    <t>100083175QN</t>
  </si>
  <si>
    <t>PILLOWS &amp; PAD</t>
  </si>
  <si>
    <t>HOTEL BY CHARTER CLUB-EDI/DOWNLITE</t>
  </si>
  <si>
    <t>OUTER COVER: COTTON; INNER SHELL: COTTON; FILL: POLYESTER FIBERFILL</t>
  </si>
  <si>
    <t>86569363411</t>
  </si>
  <si>
    <t>Martha Stewart Collection Martha Stewart Essentials Reve Burgundy King</t>
  </si>
  <si>
    <t>10012459KG</t>
  </si>
  <si>
    <t>RED</t>
  </si>
  <si>
    <t>MMG-ESSENTIALS BY MARTHA/JLA HOME</t>
  </si>
  <si>
    <t>732996445458</t>
  </si>
  <si>
    <t>Martha Stewart Collection Spa Cotton 6-Pc. Towel Set Rowboat Towel Sets</t>
  </si>
  <si>
    <t>MED BLUE</t>
  </si>
  <si>
    <t>PB TOWELS</t>
  </si>
  <si>
    <t>MARTHA STEWART-EDI/RWI/WELSPUN</t>
  </si>
  <si>
    <t>100% COTTON</t>
  </si>
  <si>
    <t>732997393963</t>
  </si>
  <si>
    <t>Hotel Collection Primaloft 450-Thread Count Sof White Standard</t>
  </si>
  <si>
    <t>100083176QN</t>
  </si>
  <si>
    <t>789323344694</t>
  </si>
  <si>
    <t>Saro Lifestyle Saro Lifestyle Brown Cork Blen Honey Brow 17</t>
  </si>
  <si>
    <t>RUSTCOPPER</t>
  </si>
  <si>
    <t>17X17</t>
  </si>
  <si>
    <t>DEC PILL/THRW</t>
  </si>
  <si>
    <t>SARO TRADING COMPANY</t>
  </si>
  <si>
    <t>CORK, POLYESTER</t>
  </si>
  <si>
    <t>190714257637</t>
  </si>
  <si>
    <t>Lacourte 2-Pk. Tiffany 20 x 20 Decora Natural 18x18</t>
  </si>
  <si>
    <t>1120579NAT20X20</t>
  </si>
  <si>
    <t>NATURAL</t>
  </si>
  <si>
    <t>ENVOGUE INTERNATIONAL LLC</t>
  </si>
  <si>
    <t>810031410767</t>
  </si>
  <si>
    <t>Happycare Textiles Happycare Textiles Classic Rec Brown</t>
  </si>
  <si>
    <t>HCT-REC-005-CO 9084</t>
  </si>
  <si>
    <t>BROWN</t>
  </si>
  <si>
    <t>NO SIZE</t>
  </si>
  <si>
    <t>HAPPYCARE TEXTILES INC</t>
  </si>
  <si>
    <t>100% POLYESTER</t>
  </si>
  <si>
    <t>783048140159</t>
  </si>
  <si>
    <t>Pem America Monochromatic 2-Pc. Floral-Pri Black Twin</t>
  </si>
  <si>
    <t>CS3908TW-1540</t>
  </si>
  <si>
    <t>PEM AMERICA INC</t>
  </si>
  <si>
    <t>86569024114</t>
  </si>
  <si>
    <t>Madison Park Madison Park Lasso 17 x 24 P Charcoal 17 x 24</t>
  </si>
  <si>
    <t>MP72-5829</t>
  </si>
  <si>
    <t>CHARCOAL</t>
  </si>
  <si>
    <t>BATH RUGS/ACC</t>
  </si>
  <si>
    <t>COTTON CHENILLE</t>
  </si>
  <si>
    <t>726895578522</t>
  </si>
  <si>
    <t>Martha Stewart Collection Solid Open Stock 400-Thread Co Storm Cloud Dark Grey Full Flat</t>
  </si>
  <si>
    <t>10021051FL</t>
  </si>
  <si>
    <t>REGFULFLAT</t>
  </si>
  <si>
    <t>ALL COTTON</t>
  </si>
  <si>
    <t>91116695426</t>
  </si>
  <si>
    <t>Sanders Printed Microfiber Queen Sheet Batik Grey Queen</t>
  </si>
  <si>
    <t>PM3SSQ</t>
  </si>
  <si>
    <t>GRAY</t>
  </si>
  <si>
    <t>SHEETS &amp;CASES</t>
  </si>
  <si>
    <t>COZY HOME FASHION/SANDER SALES ENT</t>
  </si>
  <si>
    <t>706255871630</t>
  </si>
  <si>
    <t>Martha Stewart Collection Quick Dry Reversible Bath Towe Ivory Bath Towels</t>
  </si>
  <si>
    <t>MSQDRBIV</t>
  </si>
  <si>
    <t>LT BEIGE</t>
  </si>
  <si>
    <t>BATH TOWEL</t>
  </si>
  <si>
    <t>735732247385</t>
  </si>
  <si>
    <t>Victoria Classics Fireside Sherpa Throw Grey 50x60</t>
  </si>
  <si>
    <t>SP4-THR-5060-MC-GREY</t>
  </si>
  <si>
    <t>VICTORIA/TEXTILES FROM EUROPE</t>
  </si>
  <si>
    <t>735732247354</t>
  </si>
  <si>
    <t>Victoria Classics Fireside Sherpa Throw Ivory 50x60</t>
  </si>
  <si>
    <t>SP4-THR-5060-MC-IVOR</t>
  </si>
  <si>
    <t>400013532725</t>
  </si>
  <si>
    <t>CRC GENERIC</t>
  </si>
  <si>
    <t>NO COLOR</t>
  </si>
  <si>
    <t>UPC DEFAULT</t>
  </si>
  <si>
    <t>NON-MRCHNDSE USE ONLY</t>
  </si>
  <si>
    <t>735837574140</t>
  </si>
  <si>
    <t>Hotel Collection European White Goose Down Ligh White FullQueen</t>
  </si>
  <si>
    <t>HWGDLQ02</t>
  </si>
  <si>
    <t>HOTEL BY C CLUB-EDI/PHOENIX DOWN</t>
  </si>
  <si>
    <t>SHELL: 100% COTTON; FILL: DOWN; 700 FILL POWER</t>
  </si>
  <si>
    <t>732996468174</t>
  </si>
  <si>
    <t>Hotel Collection Classic Roseblush FullQueen C Blush FullQueen</t>
  </si>
  <si>
    <t>100072251FQ</t>
  </si>
  <si>
    <t>LT/PASPINK</t>
  </si>
  <si>
    <t>HOTEL BY CC-EDI/RWI/SARITA HANDA</t>
  </si>
  <si>
    <t>732996468846</t>
  </si>
  <si>
    <t>Hotel Collection Classic Medallion FullQueen C White FullQueen</t>
  </si>
  <si>
    <t>100072157FQ</t>
  </si>
  <si>
    <t>HOTEL BY C CLUB-EDI/RWI/FA</t>
  </si>
  <si>
    <t>732996465203</t>
  </si>
  <si>
    <t>Hotel Collection 680 Thread-Count Queen Duvet C White FullQueen</t>
  </si>
  <si>
    <t>100069700FQ</t>
  </si>
  <si>
    <t>734737553590</t>
  </si>
  <si>
    <t>Lacoste Home Sideline Cotton 2-Pc. Dobby St White TwinTwin XL</t>
  </si>
  <si>
    <t>RTBOTTOMFT</t>
  </si>
  <si>
    <t>LACOSTE/SUNHAM HOME FASHIONS</t>
  </si>
  <si>
    <t>732995182927</t>
  </si>
  <si>
    <t>Hotel Collection Luxe Border King Duvet Cover Ivory FullQueen</t>
  </si>
  <si>
    <t>100047269FQ</t>
  </si>
  <si>
    <t>FABRIC: POLYESTER/COTTON, REVERSES TO COTTON/METALIC</t>
  </si>
  <si>
    <t>732997906460</t>
  </si>
  <si>
    <t>Hotel Collection Hotel Collection Terra FullQu Grey FullQueen</t>
  </si>
  <si>
    <t>100073973FQ</t>
  </si>
  <si>
    <t>FRONT: COTTON/POLYESTER/VISCOSE BLEND, BACK: 100% COTTON</t>
  </si>
  <si>
    <t>732999782970</t>
  </si>
  <si>
    <t>Martha Stewart Collection Gilded Floral Velvet KingCal Tan KingCalifornia King</t>
  </si>
  <si>
    <t>100106016KG</t>
  </si>
  <si>
    <t>783048107343</t>
  </si>
  <si>
    <t>Vince Camuto Home Reflection King Comforter Set Whiteblack King</t>
  </si>
  <si>
    <t>CS3222KG-1500</t>
  </si>
  <si>
    <t>ASSORTED</t>
  </si>
  <si>
    <t>VINCE CAMUTO HOME/PEM-AMERICA INC</t>
  </si>
  <si>
    <t>COTTON</t>
  </si>
  <si>
    <t>883893510913</t>
  </si>
  <si>
    <t>City Scene Maze King Quilt Set White King</t>
  </si>
  <si>
    <t>CITY SCENE/REVMAN INTERNATIONAL INC</t>
  </si>
  <si>
    <t>POLYESTER, POLYESTER FILL</t>
  </si>
  <si>
    <t>766195505002</t>
  </si>
  <si>
    <t>Tommy Hilfiger Prairie Cotton Reversible 3-Pc Red King</t>
  </si>
  <si>
    <t>15T1126-KG-R1-O1</t>
  </si>
  <si>
    <t>TOMMY HILFIGER/HIMATSINGKA AMERICA</t>
  </si>
  <si>
    <t>FABRIC: 100% COTTON; THREAD COUNT: 144 (REVERSE)</t>
  </si>
  <si>
    <t>679610793451</t>
  </si>
  <si>
    <t>Riverbrook Home Janna 8pc Queen Comforter Set Orange Queen</t>
  </si>
  <si>
    <t>DARKORANGE</t>
  </si>
  <si>
    <t>HALLMART COLLECTIBLES INC</t>
  </si>
  <si>
    <t>FIBER: 100% POLYESTER EXCLUSIVE OF DECORATION, FILLING: 100% POLYESTER</t>
  </si>
  <si>
    <t>732997493977</t>
  </si>
  <si>
    <t>Charter Club Damask Cotton 550-Thread Count Smoke Grey King</t>
  </si>
  <si>
    <t>100068875KG</t>
  </si>
  <si>
    <t>LT/PAS GRY</t>
  </si>
  <si>
    <t>CC MOD BEDDNG</t>
  </si>
  <si>
    <t>CHARTER CLUB-EDI/RWI/VTX</t>
  </si>
  <si>
    <t>FABRIC: 100% COTTON THREAD COUNT: 550</t>
  </si>
  <si>
    <t>841230018126</t>
  </si>
  <si>
    <t>Tempur-Pedic Dual Position Support Memory F White And Gray Standard</t>
  </si>
  <si>
    <t>QUEEN</t>
  </si>
  <si>
    <t>TEMPUR-PEDIC NORTH AMERICA INC</t>
  </si>
  <si>
    <t>MADE IN USA AND IMPORTED</t>
  </si>
  <si>
    <t>COVER: POLYESTER/POLYPROPYLENE; FILL: VISCOELASTIC POLYURETHANE FOAM</t>
  </si>
  <si>
    <t>190733045307</t>
  </si>
  <si>
    <t>Linum Home 100 Turkish Cotton Personaliz R LXL</t>
  </si>
  <si>
    <t>TR00-LX-B-99-R</t>
  </si>
  <si>
    <t>LINUM HOME TEXTILES LLC</t>
  </si>
  <si>
    <t>100% TURKISH COTTON</t>
  </si>
  <si>
    <t>732998488644</t>
  </si>
  <si>
    <t>Hotel Collection Finest Modal Bath Robe Slate LXL</t>
  </si>
  <si>
    <t>DARK GRAY</t>
  </si>
  <si>
    <t>MMG-HOTEL BY CC</t>
  </si>
  <si>
    <t>COTTON/MODAL</t>
  </si>
  <si>
    <t>733001495314</t>
  </si>
  <si>
    <t>Martha Stewart Collection Reversible 3-Pc. Cheetah-Print Grey FullQueen</t>
  </si>
  <si>
    <t>100100702FQ</t>
  </si>
  <si>
    <t>MARTHA STEWART-EDI/YUNUS TEXTILES</t>
  </si>
  <si>
    <t>732994719445</t>
  </si>
  <si>
    <t>Hotel Collection Cotton SmallMedium Spa Robe White LXL</t>
  </si>
  <si>
    <t>21166139717</t>
  </si>
  <si>
    <t>Harper Lane Harper Lane Bonjour Paris 5 pi Gray King</t>
  </si>
  <si>
    <t>UNIVERSAL HOME FASH/WELCOME INDUST</t>
  </si>
  <si>
    <t>675716534721</t>
  </si>
  <si>
    <t>Mi Zone Carly 4-Pc. FullQueen Comfort Purple FullQueen</t>
  </si>
  <si>
    <t>MZ10-230</t>
  </si>
  <si>
    <t>PURPLE</t>
  </si>
  <si>
    <t>COMFORTER/SHAM: POLYESTER MICROFIBER PRINTED; REVERSES TO POLYESTER MICROFIBERCOMFORTER FILL: POLYESTERPILLOW COVER: POLYESTERPILLOW FILL: POLYESTER</t>
  </si>
  <si>
    <t>29927474732</t>
  </si>
  <si>
    <t>Sun Zero Sun Zero Preston 100 x 84 Gr Barley 100x84</t>
  </si>
  <si>
    <t>S LICHTENBERG &amp; CO.</t>
  </si>
  <si>
    <t>636206783722</t>
  </si>
  <si>
    <t>Hotel Collection Embroidered Frame European Sha White European Sham</t>
  </si>
  <si>
    <t>EW14ES790</t>
  </si>
  <si>
    <t>734737581906</t>
  </si>
  <si>
    <t>Sunham Bella Blue 12-Pc. Reversible Q Blue Queen</t>
  </si>
  <si>
    <t>840069718092</t>
  </si>
  <si>
    <t>eLuxury eLuxury Down Alternative Densi White King</t>
  </si>
  <si>
    <t>ELXPWDLJAC UNC KG</t>
  </si>
  <si>
    <t>KING</t>
  </si>
  <si>
    <t>ELUXURY LLC</t>
  </si>
  <si>
    <t>86569069559</t>
  </si>
  <si>
    <t>Martha Stewart Collection Down Alternative Reverse to Pl Zinfandel King</t>
  </si>
  <si>
    <t>10028644KG</t>
  </si>
  <si>
    <t>WINE</t>
  </si>
  <si>
    <t>MARTHA STEWART-EDI/E &amp; E CO LTD</t>
  </si>
  <si>
    <t>732997906583</t>
  </si>
  <si>
    <t>Hotel Collection Hotel Collection Terra King Be Grey King</t>
  </si>
  <si>
    <t>100074003KG</t>
  </si>
  <si>
    <t>732998897743</t>
  </si>
  <si>
    <t>Charter Club Damask Designs Jacobean Cotton Smoke Twin</t>
  </si>
  <si>
    <t>100079948TW</t>
  </si>
  <si>
    <t>CHRT CLB DSGN</t>
  </si>
  <si>
    <t>MMG-CHARTER CLUB</t>
  </si>
  <si>
    <t>693614011564</t>
  </si>
  <si>
    <t>Ella Jayne Waterproof and Hypoallergenic White Queen</t>
  </si>
  <si>
    <t>EJHMPWP3</t>
  </si>
  <si>
    <t>QNMATTRESS</t>
  </si>
  <si>
    <t>ELLA JAYNE/PILLOW GUY INC</t>
  </si>
  <si>
    <t>848742076385</t>
  </si>
  <si>
    <t>Lush Decor Tanisha 72 x 72 Shower Curta Tangerine 72X72</t>
  </si>
  <si>
    <t>16T003364</t>
  </si>
  <si>
    <t>ORANGE</t>
  </si>
  <si>
    <t>LUSH DECOR/TRIANGLE HOME FASHIONS</t>
  </si>
  <si>
    <t>636206070549</t>
  </si>
  <si>
    <t>Hotel Collection Dimensional Standard Sham Blue Standard Sham</t>
  </si>
  <si>
    <t>100041069SD</t>
  </si>
  <si>
    <t>LT/PASBLUE</t>
  </si>
  <si>
    <t>29927565409</t>
  </si>
  <si>
    <t>Archaeo Archaeo 52 x 95 Washed Cotto Silver 52x95</t>
  </si>
  <si>
    <t>883893617766</t>
  </si>
  <si>
    <t>Nautica Nautica Adelson Sham Navy Standard Sham</t>
  </si>
  <si>
    <t>709271460093</t>
  </si>
  <si>
    <t>Calvin Klein Calvin Klein Modern Cotton Tys Creamcharcoalheather Grey King Sham</t>
  </si>
  <si>
    <t>1910167-KG-C1-D6</t>
  </si>
  <si>
    <t>KGRUFFLED</t>
  </si>
  <si>
    <t>CALVIN KLEIN HOME/HIMATSINGKA AMER</t>
  </si>
  <si>
    <t>STRIPE: 51% COTTON/ 49% MODAL, BACK: 51% COTTON/49% MODAL</t>
  </si>
  <si>
    <t>732996249995</t>
  </si>
  <si>
    <t>Charter Club 360 Down Chamber 325-Thread Co White Standard</t>
  </si>
  <si>
    <t>100069643SQ</t>
  </si>
  <si>
    <t>31374564126</t>
  </si>
  <si>
    <t>Martha Stewart Collection Essentials 7-Zone Full Memory White Full</t>
  </si>
  <si>
    <t>10012212FL</t>
  </si>
  <si>
    <t>RFMATTRESS</t>
  </si>
  <si>
    <t>ESSENTIALS BY MARTHA-EDI/CARPENTER</t>
  </si>
  <si>
    <t>MADE IN USA</t>
  </si>
  <si>
    <t>POLYURETHANE</t>
  </si>
  <si>
    <t>42075511357</t>
  </si>
  <si>
    <t>Peri Home Chenille Lattice Standard Sham White Standard Sham</t>
  </si>
  <si>
    <t>2-21130SWT</t>
  </si>
  <si>
    <t>PERI HOME/CHF INDUSTRIES</t>
  </si>
  <si>
    <t>732997572276</t>
  </si>
  <si>
    <t>Hotel Collection Hotel Collection Meadow King S Lightpastel Gr King Sham</t>
  </si>
  <si>
    <t>100077631KG</t>
  </si>
  <si>
    <t>LT/PAS GRN</t>
  </si>
  <si>
    <t>PIMA COTTON</t>
  </si>
  <si>
    <t>735732840845</t>
  </si>
  <si>
    <t>VCNY Home Martina 16-Pc. Bath Basket Bun Blue No Size</t>
  </si>
  <si>
    <t>MI7-BTH-16PC-MA</t>
  </si>
  <si>
    <t>BLUE</t>
  </si>
  <si>
    <t>TEXTILES-EUROPE INC</t>
  </si>
  <si>
    <t>FABRIC: POLYESTER/POLYETHYLENE; RINGS: NICKEL PLATED/CHROME POLISHED</t>
  </si>
  <si>
    <t>733001428626</t>
  </si>
  <si>
    <t>Martha Stewart Collection Essentials 200-Thread Count Ho Soldier Queen</t>
  </si>
  <si>
    <t>100108334QN</t>
  </si>
  <si>
    <t>86569928238</t>
  </si>
  <si>
    <t>Madison Park Hayden Reversible 3-Pc. FullQ Blue FullQueen</t>
  </si>
  <si>
    <t>MPE12-640</t>
  </si>
  <si>
    <t>FABRIC: POLYESTER 85 GSM</t>
  </si>
  <si>
    <t>706258051268</t>
  </si>
  <si>
    <t>Charter Club Damask Pima Cotton 550-Thread Medium Ivory Full</t>
  </si>
  <si>
    <t>DNSLDFLBIVY</t>
  </si>
  <si>
    <t>675716446888</t>
  </si>
  <si>
    <t>Madison Park Madison Park Essentials Micro Red Queen</t>
  </si>
  <si>
    <t>SHET20-426</t>
  </si>
  <si>
    <t>PREMIER COMFORT/E &amp; E CO LTD</t>
  </si>
  <si>
    <t>85GSM 100% POLYESTER MICROFIBER</t>
  </si>
  <si>
    <t>29927519235</t>
  </si>
  <si>
    <t>Sun Zero Sun Zero Preston 40 x 95 Rod Navy 40x95</t>
  </si>
  <si>
    <t>845951057594</t>
  </si>
  <si>
    <t>RT Designers Collection Asbury 54 x 90 Single Curtai Orange ONE SIZE</t>
  </si>
  <si>
    <t>PNA14267</t>
  </si>
  <si>
    <t>BRGHTORANG</t>
  </si>
  <si>
    <t>89/90 SGL</t>
  </si>
  <si>
    <t>RAMALLAH TRADING CO INC</t>
  </si>
  <si>
    <t>791551838692</t>
  </si>
  <si>
    <t>Berkshire Berkshire Classic Velvety Plus Sage Geo FullQueen</t>
  </si>
  <si>
    <t>16534-FQ-YH1</t>
  </si>
  <si>
    <t>GREEN</t>
  </si>
  <si>
    <t>BERKSHIRE BLANKET</t>
  </si>
  <si>
    <t>29927554069</t>
  </si>
  <si>
    <t>Sun Zero Sun Zero Kids Riley 40 x 63 Red 40x63</t>
  </si>
  <si>
    <t>29927535860</t>
  </si>
  <si>
    <t>No. 918 Bimini Textured Floral 51 x 9 Coral 51x95</t>
  </si>
  <si>
    <t>96675642126</t>
  </si>
  <si>
    <t>SensorGel Wellness by Supportive Memory White Standard</t>
  </si>
  <si>
    <t>FACE: POLYESTER; INNER YARNS: POLYESTER; BACK: POLYESTER/ METALLIC</t>
  </si>
  <si>
    <t>706258089445</t>
  </si>
  <si>
    <t>Charter Club Damask Pima Cotton 550-Thread Stone Dark Grey European Sham</t>
  </si>
  <si>
    <t>DLLSLEUHSTN</t>
  </si>
  <si>
    <t>706257414859</t>
  </si>
  <si>
    <t>Charter Club Damask Designs 12 x 18 Decor His 12x18</t>
  </si>
  <si>
    <t>D1218HIS</t>
  </si>
  <si>
    <t>12X18</t>
  </si>
  <si>
    <t>MADE IN CHINA</t>
  </si>
  <si>
    <t>42437517980</t>
  </si>
  <si>
    <t>Kenney Medium Weight Mildew-Resistant Clear</t>
  </si>
  <si>
    <t>KN61443C</t>
  </si>
  <si>
    <t>KENNEY MANUFACTURING COMPANY</t>
  </si>
  <si>
    <t>PEVA/MAGNET</t>
  </si>
  <si>
    <t>706258615583</t>
  </si>
  <si>
    <t>Martha Stewart Collection Essentials Classic Quilted Twi White Twin</t>
  </si>
  <si>
    <t>100058088TW</t>
  </si>
  <si>
    <t>RTMATTRESS</t>
  </si>
  <si>
    <t>ESSENTIALS BY MARTHA/JLA HOME</t>
  </si>
  <si>
    <t>29927431810</t>
  </si>
  <si>
    <t>Sun Zero Sun Zero Grant 54 x 63 Rod P Plum 54x63</t>
  </si>
  <si>
    <t>GRANT</t>
  </si>
  <si>
    <t>706254462945</t>
  </si>
  <si>
    <t>Hotel Collection Ultimate MicroCotton 30 x 5 White Bath Towels</t>
  </si>
  <si>
    <t>HTLMCBWHT</t>
  </si>
  <si>
    <t>706258050056</t>
  </si>
  <si>
    <t>Charter Club Damask Supima Cotton 550-Threa Mint Standard Pillowcases</t>
  </si>
  <si>
    <t>DLLSLSPCMNT</t>
  </si>
  <si>
    <t>766360449551</t>
  </si>
  <si>
    <t>Hotel Collection Turkish 16 x 30 Hand Towel Ivory Hand Towels</t>
  </si>
  <si>
    <t>HTLTURHIVO</t>
  </si>
  <si>
    <t>HAND TOWEL</t>
  </si>
  <si>
    <t>608356690649</t>
  </si>
  <si>
    <t>Charter Club Elite Hygro Cotton Bath Towel White Bath Towels</t>
  </si>
  <si>
    <t>CCELITEB</t>
  </si>
  <si>
    <t>706255871678</t>
  </si>
  <si>
    <t>Martha Stewart Collection Quick Dry Reversible Bath Towe Aqua Glass Bath Towels</t>
  </si>
  <si>
    <t>MSQDRBAQ</t>
  </si>
  <si>
    <t>TURQ/AQUA</t>
  </si>
  <si>
    <t>732999785049</t>
  </si>
  <si>
    <t>Hotel Collection Feather Core Down Surround Fir White King</t>
  </si>
  <si>
    <t>100105539KG</t>
  </si>
  <si>
    <t>732999093038</t>
  </si>
  <si>
    <t>Hotel Collection Hotel Collection 680 Thread-Co White Twin XL</t>
  </si>
  <si>
    <t>68H14TWCOMF</t>
  </si>
  <si>
    <t>RTCOMFORTE</t>
  </si>
  <si>
    <t>194938008204</t>
  </si>
  <si>
    <t>Home Boutique CLOSEOUT 3-Piece Microfiber F Paris Floral FullQueen</t>
  </si>
  <si>
    <t>16T006507</t>
  </si>
  <si>
    <t>29927578188</t>
  </si>
  <si>
    <t>Sun Zero Sun Zero Kline Blackout Gromme Gray 52x96</t>
  </si>
  <si>
    <t>91116720647</t>
  </si>
  <si>
    <t>Sanders 3 Piece Twin XL Size Printed M Tahiti Palm Twin XL</t>
  </si>
  <si>
    <t>PRBSSX</t>
  </si>
  <si>
    <t>91116720586</t>
  </si>
  <si>
    <t>Sanders 3 Piece Twin XL Size Printed M Blue Floral Twin XL</t>
  </si>
  <si>
    <t>21864398218</t>
  </si>
  <si>
    <t>Avanti Holiday Truck 3-Pc. Bath Box S Linen</t>
  </si>
  <si>
    <t>03482LPFT-LIN</t>
  </si>
  <si>
    <t>MED BEIGE</t>
  </si>
  <si>
    <t>AVANTI LINENS/AVANTI LINENS INC</t>
  </si>
  <si>
    <t>883893604810</t>
  </si>
  <si>
    <t>Vera Wang Ghost Flower King Duvet Cover Blue Lavender King</t>
  </si>
  <si>
    <t>USHSFM1100136</t>
  </si>
  <si>
    <t>VERA WANG/REVMAN INTERNATIONAL</t>
  </si>
  <si>
    <t>814026028685</t>
  </si>
  <si>
    <t>KAMA QUEEN SHEET SET</t>
  </si>
  <si>
    <t>SS-KGRY-Q</t>
  </si>
  <si>
    <t>QUEEN FLAT</t>
  </si>
  <si>
    <t>JOHN ROBSHAW TEXTILES</t>
  </si>
  <si>
    <t>MADE IN INDIA</t>
  </si>
  <si>
    <t>100% COTTON PERCALE</t>
  </si>
  <si>
    <t>712497008512</t>
  </si>
  <si>
    <t>KG CASE</t>
  </si>
  <si>
    <t>BDGAI1KCASGR</t>
  </si>
  <si>
    <t>SPECIAL BED-B</t>
  </si>
  <si>
    <t>HOME TREASURES INC - CONSIGNMENT</t>
  </si>
  <si>
    <t>709271481937</t>
  </si>
  <si>
    <t>Calvin Klein Sandstorm Flora FullQueen Com Parchment FullQueen</t>
  </si>
  <si>
    <t>1710199-FQ-P1-D2</t>
  </si>
  <si>
    <t>100% COTTON 300 TC SATEEN</t>
  </si>
  <si>
    <t>732997843826</t>
  </si>
  <si>
    <t>Martha Stewart Collection Martha Stewart Collection Chat White Queen</t>
  </si>
  <si>
    <t>100064100QN</t>
  </si>
  <si>
    <t>CLSD-MS M/BED</t>
  </si>
  <si>
    <t>MARTHA STEWART-EDI/BCP HOME INC</t>
  </si>
  <si>
    <t>COMFORTER SHELL AND FILL: POLYESTER; SHEET SET: COTTON/POLYESTER</t>
  </si>
  <si>
    <t>679610813937</t>
  </si>
  <si>
    <t>Hallmart Collectibles Sadie 14-Pc. King Comforter Se Blush King</t>
  </si>
  <si>
    <t>COMFORTER/SHAMS/BEDSKIRT/PILLOWS: POLYESTER (EXCLUSIVE OF DECORATION); SHEETS: COTTON; THROW: ACRYLIC/POLYESTER; POLYESTER FILL</t>
  </si>
  <si>
    <t>726895380088</t>
  </si>
  <si>
    <t>Hotel Collection Plume King Duvet Cover White King</t>
  </si>
  <si>
    <t>1001515KG</t>
  </si>
  <si>
    <t>FRONT: POLYESTER/COTTON; BACK: COTTON</t>
  </si>
  <si>
    <t>636047268419</t>
  </si>
  <si>
    <t>Greenland Home Fashions Katy Quilt Set, 3-Piece Full - Multi FullQueen</t>
  </si>
  <si>
    <t>GL-0804KMSQ</t>
  </si>
  <si>
    <t>BRNOVERFLW</t>
  </si>
  <si>
    <t>GREENLAND HOME FASHIONS</t>
  </si>
  <si>
    <t>732998123156</t>
  </si>
  <si>
    <t>Hotel Collection Hotel Collection Layered Frame Jade FullQueen</t>
  </si>
  <si>
    <t>100078421QN</t>
  </si>
  <si>
    <t>100% COTTON FILL: 100% POLYESTER</t>
  </si>
  <si>
    <t>689192618929</t>
  </si>
  <si>
    <t>Ella Jayne 15lb Reversible Anti-Anxiety W GreyNavy</t>
  </si>
  <si>
    <t>EJHCFWT-GN-S-15</t>
  </si>
  <si>
    <t>PILLOW GUY INC</t>
  </si>
  <si>
    <t>FRONT: MICROFIBER; REVERSE: MINKY; FILL: GLASS BEADS POLYESTER</t>
  </si>
  <si>
    <t>732999960750</t>
  </si>
  <si>
    <t>CONNETTIVA EU SHAM</t>
  </si>
  <si>
    <t>100096223ER</t>
  </si>
  <si>
    <t>BGEOVERFLW</t>
  </si>
  <si>
    <t>HUDSON PARK COLLECTION-BLM</t>
  </si>
  <si>
    <t>60% COTTON/40% POLYESTER; EMBROIDERY : POLYESTER/METALLIC; LINING : 100% COTTON</t>
  </si>
  <si>
    <t>96675323131</t>
  </si>
  <si>
    <t>SensorGel Arctic Nights 20x Cooler Suppo White Standard</t>
  </si>
  <si>
    <t>190733045000</t>
  </si>
  <si>
    <t>Linum Home 100 Turkish Cotton Personaliz M SM</t>
  </si>
  <si>
    <t>TR00-SM-B-99-M</t>
  </si>
  <si>
    <t>191790028937</t>
  </si>
  <si>
    <t>Fairfield Square Collection Hampton Cotton 650-Thread Coun Grey King</t>
  </si>
  <si>
    <t>24002104082AQT</t>
  </si>
  <si>
    <t>AQ TEXTILES</t>
  </si>
  <si>
    <t>883893488472</t>
  </si>
  <si>
    <t>City Scene Courtney FullQueen Duvet Cove White FullQueen</t>
  </si>
  <si>
    <t>651866099273</t>
  </si>
  <si>
    <t>Therapy Comfort Plush Weighted Blanket Taupe ONE SIZE</t>
  </si>
  <si>
    <t>WB487215TAUPE</t>
  </si>
  <si>
    <t>732996468839</t>
  </si>
  <si>
    <t>Hotel Collection Classic White Shop 14 x 26 D White 14x26</t>
  </si>
  <si>
    <t>83013185025</t>
  </si>
  <si>
    <t>Croscill Madrena European Sham Deep Teal European Sham</t>
  </si>
  <si>
    <t>2A0-502C0-8030</t>
  </si>
  <si>
    <t>TRAD TXTL COL</t>
  </si>
  <si>
    <t>EX-CELL HOME FASHIONS INC</t>
  </si>
  <si>
    <t>732999960743</t>
  </si>
  <si>
    <t>CONNETTIVA STD SHAM</t>
  </si>
  <si>
    <t>100096222SD</t>
  </si>
  <si>
    <t>42% POLYESTER/30% VISCOSE/28% COTTON</t>
  </si>
  <si>
    <t>732998330349</t>
  </si>
  <si>
    <t>Hotel Collection Hotel Collection Artisan Europ White European Sham</t>
  </si>
  <si>
    <t>100082003ER</t>
  </si>
  <si>
    <t>COTTON/POLYESTER BLEND EXCLUSIVE OF EMBROIDERY</t>
  </si>
  <si>
    <t>86569227911</t>
  </si>
  <si>
    <t>Martha Stewart Collection Down Alternative Reverse to Pl Avocado FullQueen</t>
  </si>
  <si>
    <t>10028644FQ</t>
  </si>
  <si>
    <t>BRIGHT GRN</t>
  </si>
  <si>
    <t>846339085550</t>
  </si>
  <si>
    <t>J Queen New York La Scala 18 Square Decorative Silver</t>
  </si>
  <si>
    <t>228804618SQ</t>
  </si>
  <si>
    <t>12 SGL</t>
  </si>
  <si>
    <t>J QUEEN NEW YORK INC</t>
  </si>
  <si>
    <t>ALL POLYESTER</t>
  </si>
  <si>
    <t>784851508723</t>
  </si>
  <si>
    <t>Elegant Comfort Elegant Comfort Super Silky So Medium Gre FullQueen</t>
  </si>
  <si>
    <t>FLEECE Q GREEN</t>
  </si>
  <si>
    <t>DARK GREEN</t>
  </si>
  <si>
    <t>ELEGANT COMFORT/BESPOLITAN INC</t>
  </si>
  <si>
    <t>POLYESTER MICROFIBER</t>
  </si>
  <si>
    <t>732997629352</t>
  </si>
  <si>
    <t>Charter Club Damask Designs Honeycomb 50 x Yellow Throw</t>
  </si>
  <si>
    <t>YELLOW</t>
  </si>
  <si>
    <t>CHARTER CLUB/SHANGHAI SUNWIN IN</t>
  </si>
  <si>
    <t>732997629338</t>
  </si>
  <si>
    <t>Charter Club Damask Designs Honeycomb 50 x Blue Throw</t>
  </si>
  <si>
    <t>732998478683</t>
  </si>
  <si>
    <t>TERRAZZO SD SHAM</t>
  </si>
  <si>
    <t>100079099SD</t>
  </si>
  <si>
    <t>84% POLYESTER/16% COTTON</t>
  </si>
  <si>
    <t>732997412206</t>
  </si>
  <si>
    <t>Martha Stewart Collection Pumpkin Figural Decorative Pil Orange</t>
  </si>
  <si>
    <t>16X16</t>
  </si>
  <si>
    <t>MARTHA STEWART-MMG/MSLO-THROWS</t>
  </si>
  <si>
    <t>190714278892</t>
  </si>
  <si>
    <t>Lacourte Aletta 50 x 60 Throw Drizzle Grey 50x60</t>
  </si>
  <si>
    <t>1121923DRIGR50X60</t>
  </si>
  <si>
    <t>29927562576</t>
  </si>
  <si>
    <t>Sun Zero Evelina Faux Silk 50 x 95 Th Bordeaux 50x95</t>
  </si>
  <si>
    <t>DARK RED</t>
  </si>
  <si>
    <t>190714257590</t>
  </si>
  <si>
    <t>Lacourte Greek Key Cotton 20 x 20 Dec Gold 20x20</t>
  </si>
  <si>
    <t>1120575GOLD20X20</t>
  </si>
  <si>
    <t>GOLD</t>
  </si>
  <si>
    <t>25695970056</t>
  </si>
  <si>
    <t>AAFA MEMO MED JBO</t>
  </si>
  <si>
    <t>HOLLANDER SLEEP PRODUCTS</t>
  </si>
  <si>
    <t>SHELL: COTTON; FILL: POLYESTER</t>
  </si>
  <si>
    <t>735837576410</t>
  </si>
  <si>
    <t>Martha Stewart Collection Essentials Solid Comforter Ful White FullQueen</t>
  </si>
  <si>
    <t>10012459FL</t>
  </si>
  <si>
    <t>POLYESTER; POLYESTER FILL AND COVER</t>
  </si>
  <si>
    <t>885308318725</t>
  </si>
  <si>
    <t>Eclipse Fresno Thermaweave Black 52x95</t>
  </si>
  <si>
    <t>11353052095BLK</t>
  </si>
  <si>
    <t>BLACK</t>
  </si>
  <si>
    <t>KEECO LLC/GRASSI ASSOCIATES INC</t>
  </si>
  <si>
    <t>190714377496</t>
  </si>
  <si>
    <t>Lacourte Aletta 50 x 60 Decorative Th Yellow 50x60</t>
  </si>
  <si>
    <t>1121923OCHYE50X60</t>
  </si>
  <si>
    <t>85214094892</t>
  </si>
  <si>
    <t>Disney Disney Mickey Mouse Crib Sheet Blue</t>
  </si>
  <si>
    <t>NOJO BABY &amp; KIDS INC</t>
  </si>
  <si>
    <t>789323303684</t>
  </si>
  <si>
    <t>Saro Lifestyle Saro Lifestyle Classic Cotton Natural 20x20</t>
  </si>
  <si>
    <t>20X20</t>
  </si>
  <si>
    <t>783048064653</t>
  </si>
  <si>
    <t>Pem America Paris 2-Pc. Twin Comforter Min Blush Twin</t>
  </si>
  <si>
    <t>CS2739TW-1540</t>
  </si>
  <si>
    <t>FABRIC: POLYESTER</t>
  </si>
  <si>
    <t>7477135223650</t>
  </si>
  <si>
    <t>Stratton Home Decor Stratton Home Decor Faux Fur D White</t>
  </si>
  <si>
    <t>S17910</t>
  </si>
  <si>
    <t>STRATTON HOME DECOR</t>
  </si>
  <si>
    <t>25695500529</t>
  </si>
  <si>
    <t>MY SIGNATURE EURO BASIC</t>
  </si>
  <si>
    <t>26X26</t>
  </si>
  <si>
    <t>SHELL: COTTON; FILL: DOWN ALTERNATIVE POLYESTER</t>
  </si>
  <si>
    <t>96675467477</t>
  </si>
  <si>
    <t>SensorPEDIC 2 Pack SofLOFT Extra Firm Dens White Standard</t>
  </si>
  <si>
    <t>840008317034</t>
  </si>
  <si>
    <t>Linenspa Signature CollectionTopTig White Queen</t>
  </si>
  <si>
    <t>LSSC0PQQMP</t>
  </si>
  <si>
    <t>SURFACE: POLYESTER. BACKING: POLYURETHANE</t>
  </si>
  <si>
    <t>32281163587</t>
  </si>
  <si>
    <t>Disney MICKEY MOUSE 3PC STORAGE SET Multi Color ONE SIZE</t>
  </si>
  <si>
    <t>JF16358</t>
  </si>
  <si>
    <t>DISNEY/JAY FRANCO &amp; SONS</t>
  </si>
  <si>
    <t>732997299449</t>
  </si>
  <si>
    <t>HP 500TC S PC IV</t>
  </si>
  <si>
    <t>5IV70SPC79</t>
  </si>
  <si>
    <t>HUDSON PARK-EDI/RWI/PACFNG</t>
  </si>
  <si>
    <t>100% PIMA COTTON</t>
  </si>
  <si>
    <t>732995740608</t>
  </si>
  <si>
    <t>Martha Stewart Collection Stenciled Leaves Standard Sham Blue Standard Sham</t>
  </si>
  <si>
    <t>100037828ST</t>
  </si>
  <si>
    <t>734737472594</t>
  </si>
  <si>
    <t>Lacoste Legend 30 x 54 Supima Cotton Surf Blue Bath Towels</t>
  </si>
  <si>
    <t>T16825B3933054NT</t>
  </si>
  <si>
    <t>SUPIMA COTTON LOOPS/COTTON GROUND</t>
  </si>
  <si>
    <t>732998001058</t>
  </si>
  <si>
    <t>Martha Stewart Collection Cool to Touch Soft King Pillow White King</t>
  </si>
  <si>
    <t>100085914KG</t>
  </si>
  <si>
    <t>MARTHA STEWART-MMG/HOLLANDER</t>
  </si>
  <si>
    <t>83013301920</t>
  </si>
  <si>
    <t>Croscill Croscill Nomad Bath Towel Blue ONE SIZE</t>
  </si>
  <si>
    <t>6A0-090O0-8004</t>
  </si>
  <si>
    <t>CROSCILL HOME LLC</t>
  </si>
  <si>
    <t>732998368632</t>
  </si>
  <si>
    <t>Martha Stewart Collection Sherpa Heart Decorative Pillow Coral 18x18</t>
  </si>
  <si>
    <t>LT/PAS ORG</t>
  </si>
  <si>
    <t>MMG-MARTHA STEWART-EDI/RWI/PEM AMER</t>
  </si>
  <si>
    <t>25695500499</t>
  </si>
  <si>
    <t>MY SIGNATURE STD BASIC</t>
  </si>
  <si>
    <t>36326580704</t>
  </si>
  <si>
    <t>Saturday Knight Saturday Knight Floral Dance T Multi No Size</t>
  </si>
  <si>
    <t>SATURDAY KNIGHT LTD</t>
  </si>
  <si>
    <t>732998237976</t>
  </si>
  <si>
    <t>Charter Club Damask Cotton Quilted Printed Paisley Blue European Sham</t>
  </si>
  <si>
    <t>100070338ER</t>
  </si>
  <si>
    <t>COTTON/POLYESTER</t>
  </si>
  <si>
    <t>82072590856</t>
  </si>
  <si>
    <t>Sleeping Partners Tadpoles Animal Pals Sherpa Ba Owl</t>
  </si>
  <si>
    <t>BSBBSH110</t>
  </si>
  <si>
    <t>TADPOLE HOME/SLEEPING PARTNER INTL</t>
  </si>
  <si>
    <t>814760027265</t>
  </si>
  <si>
    <t>ienjoy Home Home Collection Premium Ultra Taupe Standard</t>
  </si>
  <si>
    <t>PCASESLDSTDIENJ</t>
  </si>
  <si>
    <t>IENJOY HOME/IENJOY LLC</t>
  </si>
  <si>
    <t>MICROFIBER</t>
  </si>
  <si>
    <t>732998408765</t>
  </si>
  <si>
    <t>Martha Stewart Collection Garden Floral Cotton Standard Blue Standard Sham</t>
  </si>
  <si>
    <t>100082701ST</t>
  </si>
  <si>
    <t>732996957791</t>
  </si>
  <si>
    <t>Charter Club Cozy Plush Throw Slate 50x70</t>
  </si>
  <si>
    <t>CHARTER CLUB-EDI/JLA HOME</t>
  </si>
  <si>
    <t>86569092007</t>
  </si>
  <si>
    <t>JLA Home Liliana Hooded 25 x 50 Throw Blush ONE SIZE</t>
  </si>
  <si>
    <t>MCH50-759</t>
  </si>
  <si>
    <t>PINK</t>
  </si>
  <si>
    <t>32281165246</t>
  </si>
  <si>
    <t>Disney Disney 2 Pack Squishy Pillows Disney Frozen</t>
  </si>
  <si>
    <t>JF16524</t>
  </si>
  <si>
    <t>846339091438</t>
  </si>
  <si>
    <t>J Queen New York Stanford Mocha Queen Comforter Mink Queen</t>
  </si>
  <si>
    <t>2358062QCS</t>
  </si>
  <si>
    <t>846339080425</t>
  </si>
  <si>
    <t>J Queen New York J Queen New York Astoria Queen White Queen</t>
  </si>
  <si>
    <t>2236020QCS</t>
  </si>
  <si>
    <t>POLYESTER; POLYESTER FILL</t>
  </si>
  <si>
    <t>706255790436</t>
  </si>
  <si>
    <t>Lucky Brand Taos 3-Pc. Matelasse FullQuee White FullQueen</t>
  </si>
  <si>
    <t>100036790FQ</t>
  </si>
  <si>
    <t>CLSD-LKY BEDD</t>
  </si>
  <si>
    <t>LUCKY - MMG</t>
  </si>
  <si>
    <t>FABRIC: COTTON; POLYESTER FILL</t>
  </si>
  <si>
    <t>735837574263</t>
  </si>
  <si>
    <t>Hotel Collection European White Goose Down Firm White Standard</t>
  </si>
  <si>
    <t>HWGDJF14</t>
  </si>
  <si>
    <t>REMOVABLE OUTER COVER: 100% COTTON; FILL: GOOSE DOWN; FILL POWER: 700</t>
  </si>
  <si>
    <t>675716597801</t>
  </si>
  <si>
    <t>INKIVY Mira Reversible Paisley-Print Blue King</t>
  </si>
  <si>
    <t>II10-090</t>
  </si>
  <si>
    <t>INK &amp; IVY/JLA HOME/E &amp; E CO LTD</t>
  </si>
  <si>
    <t>42075506049</t>
  </si>
  <si>
    <t>Peri Home Cut Geo Queen Duvet Cover Lilac Queen</t>
  </si>
  <si>
    <t>2-2101DQLI</t>
  </si>
  <si>
    <t>LT/PAS PUR</t>
  </si>
  <si>
    <t>675716772017</t>
  </si>
  <si>
    <t>Madison Park Madison Park Quebec 3-Piece Qu Red Queen</t>
  </si>
  <si>
    <t>MP13-2993</t>
  </si>
  <si>
    <t>COTTON/POLYESTER/OTHER FIBER</t>
  </si>
  <si>
    <t>32281245726</t>
  </si>
  <si>
    <t>Disney Disney Frozen Swirl Full Bed i Blue Full</t>
  </si>
  <si>
    <t>JF24572ML</t>
  </si>
  <si>
    <t>733001230052</t>
  </si>
  <si>
    <t>Martha Stewart Collection Charleston Yarn Dye Stripe Ful Blue FullQueen</t>
  </si>
  <si>
    <t>100104028FQ</t>
  </si>
  <si>
    <t>96675700826</t>
  </si>
  <si>
    <t>SensorGel Cool Coat Arctic Gusset Gel In White King</t>
  </si>
  <si>
    <t>POLYETHYLENE/POLYESTER</t>
  </si>
  <si>
    <t>636206071638</t>
  </si>
  <si>
    <t>Hotel Collection Dimensional Embroidered 20 Sq Blue 20x20</t>
  </si>
  <si>
    <t>766195485687</t>
  </si>
  <si>
    <t>Tommy Hilfiger Menemsha European Sham Navy European Sham</t>
  </si>
  <si>
    <t>115377TH001</t>
  </si>
  <si>
    <t>608381711364</t>
  </si>
  <si>
    <t>Hotel Collection 680 Thread-Count Queen Bedskir Ivory Queen</t>
  </si>
  <si>
    <t>68I19QBS</t>
  </si>
  <si>
    <t>750105138640</t>
  </si>
  <si>
    <t>Charter Club Soft StandardQueen Down Pillo White StandardQueen</t>
  </si>
  <si>
    <t>FEDP0840WQ</t>
  </si>
  <si>
    <t>REMOVABLE COVER: 100% COTTON</t>
  </si>
  <si>
    <t>783048024251</t>
  </si>
  <si>
    <t>Truly Soft Truly Soft Everyday Red and Gr Khaki And Navy King</t>
  </si>
  <si>
    <t>CS1656KNKG-17</t>
  </si>
  <si>
    <t>100% MICROFIBER FACE AND BACK. FILLED WITH 100% HYPOALLERGENIC POLYESTER.</t>
  </si>
  <si>
    <t>679610822571</t>
  </si>
  <si>
    <t>Hallmart Collectibles Scroll Medallion 12 PC Reversi Blue King</t>
  </si>
  <si>
    <t>FIBER: 100% POLYESTER; FILLING: 100% POLYESTER; SHEETS: 100% POLYESTER</t>
  </si>
  <si>
    <t>693614011571</t>
  </si>
  <si>
    <t>Ella Jayne Waterproof and Hypoallergenic White King</t>
  </si>
  <si>
    <t>EJHMPWP4</t>
  </si>
  <si>
    <t>KGMATTRESS</t>
  </si>
  <si>
    <t>732998330325</t>
  </si>
  <si>
    <t>Hotel Collection Hotel Collection Artisan 14X2 White 14x20</t>
  </si>
  <si>
    <t>SHELL: POLYESTER/COTTON BLEND EXCLUSIVE OF EMBROIDERY</t>
  </si>
  <si>
    <t>849709017519</t>
  </si>
  <si>
    <t>LOFT EVOLUTION by Loft Aqua ONE SIZE</t>
  </si>
  <si>
    <t>LOFTEX HOME LLC</t>
  </si>
  <si>
    <t>80% COTTON / 20% RECYCLED PET LOOP, 100% COTTON GROUND</t>
  </si>
  <si>
    <t>608381197496</t>
  </si>
  <si>
    <t>Hotel Collection Trousseau Cotton European Sham White European Sham</t>
  </si>
  <si>
    <t>WE15ES790</t>
  </si>
  <si>
    <t>734737570740</t>
  </si>
  <si>
    <t>Fairfield Square Collection Amalanta Reversible 8-Pc. Quee Red King</t>
  </si>
  <si>
    <t>FABRIC: POLYESTER; POLYESTER FILL</t>
  </si>
  <si>
    <t>732996468860</t>
  </si>
  <si>
    <t>Hotel Collection Classic Medallion Quilted 20 White King Sham</t>
  </si>
  <si>
    <t>100072158KG</t>
  </si>
  <si>
    <t>735837086322</t>
  </si>
  <si>
    <t>Hotel Collection Step Up Down-Alternative Mediu White King</t>
  </si>
  <si>
    <t>HDAMK905</t>
  </si>
  <si>
    <t>SHELL: 100% COTTON WOVEN JACQUARD; FILL: DOWN-ALTERNATIVE FIBER</t>
  </si>
  <si>
    <t>783048131928</t>
  </si>
  <si>
    <t>Pem America Chambray Plaid Full 8PC Comfo Multi Full</t>
  </si>
  <si>
    <t>BIB3719FU-3240</t>
  </si>
  <si>
    <t>655385040563</t>
  </si>
  <si>
    <t>Elite Home Organic Cotton Duvet Sets Oat Twin</t>
  </si>
  <si>
    <t>300DSTW514ORGNC</t>
  </si>
  <si>
    <t>MED PURPLE</t>
  </si>
  <si>
    <t>ELITE HOME PRODUCTS INC</t>
  </si>
  <si>
    <t>732996468723</t>
  </si>
  <si>
    <t>Hotel Collection Classic White Matelasse Stand White Standard Sham</t>
  </si>
  <si>
    <t>100072156SD</t>
  </si>
  <si>
    <t>766195314864</t>
  </si>
  <si>
    <t>Tommy Hilfiger Tommy Hilfiger Solid Core Rasp Light Blue King Pillowcases</t>
  </si>
  <si>
    <t>11T1440-KG-B1-D6</t>
  </si>
  <si>
    <t>200-THREAD COUNT COTTON PERCALE</t>
  </si>
  <si>
    <t>783048998484</t>
  </si>
  <si>
    <t>Truly Soft Truly Soft Everyday White King White King</t>
  </si>
  <si>
    <t>DCS1657WTK-1800</t>
  </si>
  <si>
    <t>100% MICROFIBER POLYESTER.</t>
  </si>
  <si>
    <t>10482884012</t>
  </si>
  <si>
    <t>Levinsohn Textiles Fresh Ideas Ruffled Eyelet Twi Ivory Twin</t>
  </si>
  <si>
    <t>FRE30018IVOR01</t>
  </si>
  <si>
    <t>LEVINSOHN TEXTILE CO INC</t>
  </si>
  <si>
    <t>732998237334</t>
  </si>
  <si>
    <t>Charter Club Damask Stripe Cotton 550-Threa Neo Natural Queen Flat</t>
  </si>
  <si>
    <t>100056005QN</t>
  </si>
  <si>
    <t>788904130664</t>
  </si>
  <si>
    <t>Royal Luxe Royal Luxe Microfiber Color Do White FullQueen</t>
  </si>
  <si>
    <t>COVER: POLYESTER; FILL: HYP-ALLERGENIC POLYESTER FIBERFILL</t>
  </si>
  <si>
    <t>706257404362</t>
  </si>
  <si>
    <t>Hotel Collection Cotton 680 Thread Count Set of White Standard</t>
  </si>
  <si>
    <t>68H24STPC</t>
  </si>
  <si>
    <t>100% SUPIMA COTTON</t>
  </si>
  <si>
    <t>734737552388</t>
  </si>
  <si>
    <t>Sunham Colesville 3-Pc. Comforter Set Blush FullQueen</t>
  </si>
  <si>
    <t>18953122V</t>
  </si>
  <si>
    <t>726895579239</t>
  </si>
  <si>
    <t>Martha Stewart Collection Solid Open Stock 400-Thread Co Latte Tan Queen Flat</t>
  </si>
  <si>
    <t>10021051QN</t>
  </si>
  <si>
    <t>679610822618</t>
  </si>
  <si>
    <t>Hallmart Collectibles Ambrosia 3-Pc. Reversible Full Aqua FullQueen</t>
  </si>
  <si>
    <t>818912039694</t>
  </si>
  <si>
    <t>Home More Christmas Wreath 17 x 29 Coi Naturalredgreen ONE SIZE</t>
  </si>
  <si>
    <t>CALLOWAY MILLS/HOME &amp; MORE LLC</t>
  </si>
  <si>
    <t>COIR/VINYL</t>
  </si>
  <si>
    <t>732995192179</t>
  </si>
  <si>
    <t>Charter Club Damask Solid Cotton 550-Thread White Twin Fitted</t>
  </si>
  <si>
    <t>100056015TW</t>
  </si>
  <si>
    <t>706258615347</t>
  </si>
  <si>
    <t>Martha Stewart Collection Essentials Classic Quilted Ful White Full</t>
  </si>
  <si>
    <t>100058088FU</t>
  </si>
  <si>
    <t>86093562182</t>
  </si>
  <si>
    <t>Mohawk Mohawk Comfort Coffee 1 6 L Multi 18 x 30</t>
  </si>
  <si>
    <t>4052-17877-018030</t>
  </si>
  <si>
    <t>30X18</t>
  </si>
  <si>
    <t>AMERICAN RUG-MOHAWK INDUSTRIES</t>
  </si>
  <si>
    <t>42694347283</t>
  </si>
  <si>
    <t>Charter Club Classic Contour Bath Rug Cedar 21 x 24</t>
  </si>
  <si>
    <t>CSOLIDCNCD</t>
  </si>
  <si>
    <t>PB-BTH-RUG/AC</t>
  </si>
  <si>
    <t>CHARTER CLUB-MMG</t>
  </si>
  <si>
    <t>NYLON; BACK: LATEX</t>
  </si>
  <si>
    <t>732998000358</t>
  </si>
  <si>
    <t>Charter Club Down Alternative 300-Thread Co White King</t>
  </si>
  <si>
    <t>100086583KG</t>
  </si>
  <si>
    <t>29927435085</t>
  </si>
  <si>
    <t>Sun Zero Sun Zero Grant 54 x 63 Gromm Sage 54x63</t>
  </si>
  <si>
    <t>MED GREEN</t>
  </si>
  <si>
    <t>80166582961</t>
  </si>
  <si>
    <t>Bacova Beach Chairs 18 x 30 Doormat Multi 18x30</t>
  </si>
  <si>
    <t>BACOVA GUILD LTD/RONILE INC</t>
  </si>
  <si>
    <t>FABRIC: COIR; REVERSES TO PVC</t>
  </si>
  <si>
    <t>732998000372</t>
  </si>
  <si>
    <t>100086582KG</t>
  </si>
  <si>
    <t>91116695242</t>
  </si>
  <si>
    <t>Sanders Printed Microfiber Twin Sheet Anabella Twin</t>
  </si>
  <si>
    <t>PM3SST</t>
  </si>
  <si>
    <t>726895251753</t>
  </si>
  <si>
    <t>Hotel Collection Marble Cotton Fashion Hand Tow Light Steel Hand Towels</t>
  </si>
  <si>
    <t>750105168111</t>
  </si>
  <si>
    <t>Tommy Bahama Home Lasting Support Pillow - 2-Pac White</t>
  </si>
  <si>
    <t>PI40004SQ</t>
  </si>
  <si>
    <t>DOWN LITE INTERNATIONAL</t>
  </si>
  <si>
    <t>636193128353</t>
  </si>
  <si>
    <t>Hotel Collection Turkish 13 Square Washcloth Steel Washcloths</t>
  </si>
  <si>
    <t>HTLTURWSTE</t>
  </si>
  <si>
    <t>WASH CLOTH</t>
  </si>
  <si>
    <t>636189944929</t>
  </si>
  <si>
    <t>Hotel Collection Turkish 13 Square Washcloth Blue Skyline Washcloths</t>
  </si>
  <si>
    <t>HTLTURWBSL</t>
  </si>
  <si>
    <t>734737473263</t>
  </si>
  <si>
    <t>Lacoste Legend 13 Square Supima Cotto Formula 1 Washcloths</t>
  </si>
  <si>
    <t>T16825R1601313</t>
  </si>
  <si>
    <t>SUPIMA COTTON LOOPS/ COTTON GROUND</t>
  </si>
  <si>
    <t>734737534803</t>
  </si>
  <si>
    <t>Sunham Soft Spun Cotton Hand Towel White Hand Towels</t>
  </si>
  <si>
    <t>T18437N011626</t>
  </si>
  <si>
    <t>734737534926</t>
  </si>
  <si>
    <t>Sunham Soft Spun Cotton Hand Towel Light Tan Hand Towels</t>
  </si>
  <si>
    <t>T18437N5281626</t>
  </si>
  <si>
    <t>840008367268</t>
  </si>
  <si>
    <t>Dr. Oz Good Life Dr. Oz Good Life Sleep All Day White California King</t>
  </si>
  <si>
    <t>OZGL20CK40FRGT</t>
  </si>
  <si>
    <t>651896640018</t>
  </si>
  <si>
    <t>Morgan Home Palmer 3pc King Comforter Set Grey King</t>
  </si>
  <si>
    <t>M640018</t>
  </si>
  <si>
    <t>MORGAN HOME FASHIONS</t>
  </si>
  <si>
    <t>732999521562</t>
  </si>
  <si>
    <t>Hotel Collection Hotel Collection Cambria King White King Sham</t>
  </si>
  <si>
    <t>100105349KG</t>
  </si>
  <si>
    <t>732998530367</t>
  </si>
  <si>
    <t>Martha Stewart Collection Essentials Stripe Jersey Twin Blue Stripe</t>
  </si>
  <si>
    <t>100087655TW</t>
  </si>
  <si>
    <t>DARK BLUE</t>
  </si>
  <si>
    <t>MS ESSENTIALS-EDI/SUNHAM HOME</t>
  </si>
  <si>
    <t>733001487630</t>
  </si>
  <si>
    <t>Martha Stewart Collection Whim by Martha Stewart Collect Paris Full</t>
  </si>
  <si>
    <t>100103215FL</t>
  </si>
  <si>
    <t>MARTHA STEWART-EDI/RWI/KOHINOOR</t>
  </si>
  <si>
    <t>732999603534</t>
  </si>
  <si>
    <t>Martha Stewart Collection Reversible Plaid King Comforte Blue Plaid King</t>
  </si>
  <si>
    <t>100109403KG</t>
  </si>
  <si>
    <t>784857883909</t>
  </si>
  <si>
    <t>HEATHER CLOUD RUG SET</t>
  </si>
  <si>
    <t>K698287</t>
  </si>
  <si>
    <t>IDEA NUOVA INC</t>
  </si>
  <si>
    <t>784857883947</t>
  </si>
  <si>
    <t>K698291</t>
  </si>
  <si>
    <t>732999837625</t>
  </si>
  <si>
    <t>Martha Stewart Collection Carved Sherpa Throw Created F Grey Throw</t>
  </si>
  <si>
    <t>857525008659</t>
  </si>
  <si>
    <t>Pillow Guy Classic Cool Crisp 100 Cott Cadet Blue KingCalifornia King</t>
  </si>
  <si>
    <t>PG-PCDCS-CB-K CK</t>
  </si>
  <si>
    <t>628961002439</t>
  </si>
  <si>
    <t>Small World Home Cheshire 14-Pc. King Comforter Black King</t>
  </si>
  <si>
    <t>JET9826</t>
  </si>
  <si>
    <t>JETRICH CANADA LIMITED</t>
  </si>
  <si>
    <t>679610822014</t>
  </si>
  <si>
    <t>Hallmart Collectibles Omana 14 PC Queen Comforter Se Wine Queen</t>
  </si>
  <si>
    <t>FIBER: 100% POLYESTER EXCLUSIVE OF DECORATION; FILLING: 100% POLYESTER; SHEETS: 100% COTTON</t>
  </si>
  <si>
    <t>38992906116</t>
  </si>
  <si>
    <t>Waterford Astor 100 x 84 Pole Top Pair Natural ONE SIZE</t>
  </si>
  <si>
    <t>CNASTRW1031184P</t>
  </si>
  <si>
    <t>108 DBL</t>
  </si>
  <si>
    <t>WATERFORD/W-C HOME FASHIONS LLC</t>
  </si>
  <si>
    <t>POLYESTER; LINING: POLYESTER/COTTON</t>
  </si>
  <si>
    <t>679610800616</t>
  </si>
  <si>
    <t>Hallmart Collectibles Swinton 14-Pc. Queen Comforter Plum Queen</t>
  </si>
  <si>
    <t>COMFORTER/SHAMS/BEDSKIRT/PILLOWS: POLYESTER (EXCLUSIVE OF DECORATION); THROW: ACRYLIC/POLYESTER; SHEETS: COTTON; POLYESTER FILL</t>
  </si>
  <si>
    <t>42075584573</t>
  </si>
  <si>
    <t>Dream Factory Dream Factory Trains And Plane Blue FullQueen</t>
  </si>
  <si>
    <t>2-8708C3BL</t>
  </si>
  <si>
    <t>BRYAN KEITH/CHF INDUSTRIES</t>
  </si>
  <si>
    <t>675716905026</t>
  </si>
  <si>
    <t>Urban Habitat Brooklyn Cotton 5-Pc. TwinTwi Pink TwinTwin XL</t>
  </si>
  <si>
    <t>UH10-0204</t>
  </si>
  <si>
    <t>COMFORTER/SHAM: COTTON JACQUARD FACE THREAD COUNT: 140; COTTON REVERSE THREAD COUNT: 144DECORATIVE PILLOW: COTTON PERCALE THREAD COUNT: 144 EUROPEAN SHAM: COTTON WITH QUILTING TOP THREAD COUNT: 144 COMFORTER/PILLOW FILL: POLYESTER</t>
  </si>
  <si>
    <t>733001386902</t>
  </si>
  <si>
    <t>Charter Club Damask Velvet 3 pc FullQueen Grey FullQueen</t>
  </si>
  <si>
    <t>100108653FQ</t>
  </si>
  <si>
    <t>848742066744</t>
  </si>
  <si>
    <t>Lush Decor Percy Bloom Room Darkening 84 Tangerine ONE SIZE</t>
  </si>
  <si>
    <t>16T002249</t>
  </si>
  <si>
    <t>706258090762</t>
  </si>
  <si>
    <t>Charter Club Damask Stripe Supima Cotton 55 Taupe King</t>
  </si>
  <si>
    <t>DLLSTKGSTAU</t>
  </si>
  <si>
    <t>86569153791</t>
  </si>
  <si>
    <t>Mi Zone Tessa FullQueen 4 Piece Tasse White FullQueen</t>
  </si>
  <si>
    <t>MZK10-169</t>
  </si>
  <si>
    <t>COMFORTER/SHAM: POLYESTER BRUSHED FABRIC, COMFORTER WITH POLYESTER FILLING; DECORATIVE PILLOW: POLYESTER COVER WITH POLYESTER FILLING</t>
  </si>
  <si>
    <t>732999069422</t>
  </si>
  <si>
    <t>Martha Stewart Collection Buffalo Plaid Yarn Dye Twin Qu Red TwinTwin XL</t>
  </si>
  <si>
    <t>100079755TW</t>
  </si>
  <si>
    <t>726895387070</t>
  </si>
  <si>
    <t>Charter Club Damask Pima Cotton 550-Thread Pale Lilac King</t>
  </si>
  <si>
    <t>DLLSLKGCLIL</t>
  </si>
  <si>
    <t>SUPIMA COTTON</t>
  </si>
  <si>
    <t>734737567948</t>
  </si>
  <si>
    <t>Sunham Norvara 500-Thread Count 6-Pc. Blue King</t>
  </si>
  <si>
    <t>783048021410</t>
  </si>
  <si>
    <t>Truly Soft Truly Soft Pleated White Twin Blush TwinTwin XL</t>
  </si>
  <si>
    <t>CS1969BSTX-1500</t>
  </si>
  <si>
    <t>31374564157</t>
  </si>
  <si>
    <t>Martha Stewart Collection Essentials 7-Zone California K White California King</t>
  </si>
  <si>
    <t>10012212CK</t>
  </si>
  <si>
    <t>CALKMATTRE</t>
  </si>
  <si>
    <t>VISCO ELASTIC MEMORY FOAM.</t>
  </si>
  <si>
    <t>732998018674</t>
  </si>
  <si>
    <t>Charter Club Damask Designs White Chunky 50 White</t>
  </si>
  <si>
    <t>191790041134</t>
  </si>
  <si>
    <t>AQ Textiles Camden Sateen 1250-Thread Coun Silver King</t>
  </si>
  <si>
    <t>25542104063AQT</t>
  </si>
  <si>
    <t>734737581623</t>
  </si>
  <si>
    <t>Fairfield Square Collection Golden Damask 8-Pc. Reversible Red King</t>
  </si>
  <si>
    <t>734737422964</t>
  </si>
  <si>
    <t>Fairfield Square Collection Austin 8-Pc. Reversible Comfor Red King</t>
  </si>
  <si>
    <t>15977329V</t>
  </si>
  <si>
    <t>734737563186</t>
  </si>
  <si>
    <t>Sunham Emory 420-Thread Count 4-Pc. Q Ivory Queen</t>
  </si>
  <si>
    <t>734737563216</t>
  </si>
  <si>
    <t>Sunham Emory 420-Thread Count 4-Pc. Q Grey Queen</t>
  </si>
  <si>
    <t>734737567931</t>
  </si>
  <si>
    <t>Sunham Norvara 500-Thread Count 6-Pc. Blue Queen</t>
  </si>
  <si>
    <t>732997574423</t>
  </si>
  <si>
    <t>Martha Stewart Collection Velvet Flourish Throw Champagne 50x60</t>
  </si>
  <si>
    <t>POLYESTER/SPANDEX; FILLING: COTTON</t>
  </si>
  <si>
    <t>734737617155</t>
  </si>
  <si>
    <t>Sunham Fairfield Square Waverly Cotto Blush Damask Twin</t>
  </si>
  <si>
    <t>BRGHT PINK</t>
  </si>
  <si>
    <t>636206071379</t>
  </si>
  <si>
    <t>Hotel Collection Dimensional Quilted King Sham Blue King Sham</t>
  </si>
  <si>
    <t>100041080KG</t>
  </si>
  <si>
    <t>SHELL: POLYESTER, COTTON; LINING: ALL COTTON; FILLING:POLYESTER "</t>
  </si>
  <si>
    <t>706258584773</t>
  </si>
  <si>
    <t>Charter Club Brushed Cotton 300-Thread Coun White Twin XL</t>
  </si>
  <si>
    <t>T300TXLWHT</t>
  </si>
  <si>
    <t>CHARTER CLUB-EDI/RWI/WELSPUN</t>
  </si>
  <si>
    <t>191790040922</t>
  </si>
  <si>
    <t>AQ Textiles Camden 1250 thread count 4 pc White Queen</t>
  </si>
  <si>
    <t>25542103001AQT</t>
  </si>
  <si>
    <t>636206292316</t>
  </si>
  <si>
    <t>Martha Stewart Collection Cabana Round Cotton Beach Towe Fanning Ferns 57x36</t>
  </si>
  <si>
    <t>MSRNDFERNS</t>
  </si>
  <si>
    <t>MARTHA STEWART-EDI/SUNHAM HOME FASH</t>
  </si>
  <si>
    <t>784851504015</t>
  </si>
  <si>
    <t>Elegant Comfort Elegant Comfort Luxurious Silk Aqua KingCalifornia King</t>
  </si>
  <si>
    <t>DVT1500 KING TURQOUI</t>
  </si>
  <si>
    <t>788904002435</t>
  </si>
  <si>
    <t>Kathy Ireland Kathy Ireland Home Essentials White King</t>
  </si>
  <si>
    <t>KI709625</t>
  </si>
  <si>
    <t>POLYESTER MICROFIBER; POLYESTER FILL</t>
  </si>
  <si>
    <t>636206357497</t>
  </si>
  <si>
    <t>DRAFT - Delete Chalk White Twin</t>
  </si>
  <si>
    <t>T3ORGTWCHK</t>
  </si>
  <si>
    <t>675716488253</t>
  </si>
  <si>
    <t>Madison Park Emilia 50 x 84 Lined Faux-Si White 50x84</t>
  </si>
  <si>
    <t>WIN40-115</t>
  </si>
  <si>
    <t>83/84 SGL</t>
  </si>
  <si>
    <t>FAKE-SILK FABRIC AND LINING: POLYESTER</t>
  </si>
  <si>
    <t>841643122885</t>
  </si>
  <si>
    <t>Duck River Textile Bali 38 x 96 Window Panel Pa Champagne 38x96</t>
  </si>
  <si>
    <t>BAQ9C-12-13846</t>
  </si>
  <si>
    <t>DUCK RIVER TEXTILE</t>
  </si>
  <si>
    <t>788904002398</t>
  </si>
  <si>
    <t>Kathy Ireland Kathy Ireland Home Essentials White Twin</t>
  </si>
  <si>
    <t>KI709621</t>
  </si>
  <si>
    <t>732996502182</t>
  </si>
  <si>
    <t>Martha Stewart Collection Joy 20 x 30 Hooked Rug Neutral Combo No Size</t>
  </si>
  <si>
    <t>MARTHA STEWART-MMG</t>
  </si>
  <si>
    <t>32281269777</t>
  </si>
  <si>
    <t>Disney Disney Pillow Buddy Star Wars Chewbacca Standard</t>
  </si>
  <si>
    <t>JF26977JCD</t>
  </si>
  <si>
    <t>735732743795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</si>
</sst>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_);[Red]\(&quot;$&quot;#,##0.00\)"/>
    <numFmt numFmtId="165" formatCode="_(&quot;$&quot;* #,##0.00_);_(&quot;$&quot;* \(#,##0.00\);_(&quot;$&quot;* &quot;-&quot;??_);_(@_)"/>
  </numFmts>
  <fonts count="5" x14ac:knownFonts="1">
    <font>
      <sz val="11"/>
      <color theme="1"/>
      <name val="Calibri"/>
      <family val="2"/>
      <scheme val="minor"/>
    </font>
    <font>
      <b/>
      <sz val="11"/>
      <color indexed="8"/>
      <name val="Calibri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u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5" fontId="0" fillId="0" borderId="1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49" fontId="3" fillId="0" borderId="0" xfId="0" applyNumberFormat="1" applyFont="1" applyAlignment="1">
      <alignment wrapText="1"/>
    </xf>
    <xf numFmtId="0" fontId="3" fillId="0" borderId="0" xfId="0" applyFont="1" applyAlignment="1">
      <alignment wrapText="1"/>
    </xf>
    <xf numFmtId="1" fontId="3" fillId="0" borderId="0" xfId="0" applyNumberFormat="1" applyFont="1" applyAlignment="1">
      <alignment horizontal="center" wrapText="1"/>
    </xf>
    <xf numFmtId="164" fontId="3" fillId="0" borderId="0" xfId="0" applyNumberFormat="1" applyFont="1" applyAlignment="1">
      <alignment wrapText="1"/>
    </xf>
    <xf numFmtId="49" fontId="3" fillId="0" borderId="0" xfId="0" applyNumberFormat="1" applyFont="1" applyAlignment="1">
      <alignment horizontal="center" wrapText="1"/>
    </xf>
    <xf numFmtId="0" fontId="4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8"/>
  <sheetViews>
    <sheetView tabSelected="1" topLeftCell="A2" workbookViewId="0">
      <selection activeCell="A29" sqref="A29"/>
    </sheetView>
  </sheetViews>
  <sheetFormatPr defaultRowHeight="15" x14ac:dyDescent="0.25"/>
  <cols>
    <col min="2" max="2" width="12.5703125" bestFit="1" customWidth="1"/>
  </cols>
  <sheetData>
    <row r="1" spans="1:2" x14ac:dyDescent="0.25">
      <c r="A1" s="1" t="s">
        <v>3338</v>
      </c>
      <c r="B1" s="2" t="s">
        <v>3339</v>
      </c>
    </row>
    <row r="2" spans="1:2" x14ac:dyDescent="0.25">
      <c r="A2" s="3">
        <v>63</v>
      </c>
      <c r="B2" s="4">
        <v>4238.6099999999997</v>
      </c>
    </row>
    <row r="3" spans="1:2" x14ac:dyDescent="0.25">
      <c r="A3" s="3">
        <v>70</v>
      </c>
      <c r="B3" s="4">
        <v>5636.32</v>
      </c>
    </row>
    <row r="4" spans="1:2" x14ac:dyDescent="0.25">
      <c r="A4" s="3">
        <v>74</v>
      </c>
      <c r="B4" s="4">
        <v>5048.47</v>
      </c>
    </row>
    <row r="5" spans="1:2" x14ac:dyDescent="0.25">
      <c r="A5" s="3">
        <v>79</v>
      </c>
      <c r="B5" s="4">
        <v>4968.51</v>
      </c>
    </row>
    <row r="6" spans="1:2" x14ac:dyDescent="0.25">
      <c r="A6" s="3">
        <v>78</v>
      </c>
      <c r="B6" s="4">
        <v>5231.37</v>
      </c>
    </row>
    <row r="7" spans="1:2" x14ac:dyDescent="0.25">
      <c r="A7" s="3">
        <v>74</v>
      </c>
      <c r="B7" s="4">
        <v>5569.37</v>
      </c>
    </row>
    <row r="8" spans="1:2" x14ac:dyDescent="0.25">
      <c r="A8" s="3">
        <v>70</v>
      </c>
      <c r="B8" s="4">
        <v>6026.62</v>
      </c>
    </row>
    <row r="9" spans="1:2" x14ac:dyDescent="0.25">
      <c r="A9" s="3">
        <v>77</v>
      </c>
      <c r="B9" s="4">
        <v>5601.51</v>
      </c>
    </row>
    <row r="10" spans="1:2" x14ac:dyDescent="0.25">
      <c r="A10" s="3">
        <v>68</v>
      </c>
      <c r="B10" s="4">
        <v>4770.82</v>
      </c>
    </row>
    <row r="11" spans="1:2" x14ac:dyDescent="0.25">
      <c r="A11" s="3">
        <v>64</v>
      </c>
      <c r="B11" s="4">
        <v>5257.08</v>
      </c>
    </row>
    <row r="12" spans="1:2" x14ac:dyDescent="0.25">
      <c r="A12" s="3">
        <v>65</v>
      </c>
      <c r="B12" s="4">
        <v>5631.03</v>
      </c>
    </row>
    <row r="13" spans="1:2" x14ac:dyDescent="0.25">
      <c r="A13" s="3">
        <v>63</v>
      </c>
      <c r="B13" s="4">
        <v>5948.49</v>
      </c>
    </row>
    <row r="14" spans="1:2" x14ac:dyDescent="0.25">
      <c r="A14" s="3">
        <v>63</v>
      </c>
      <c r="B14" s="4">
        <v>6167.87</v>
      </c>
    </row>
    <row r="15" spans="1:2" x14ac:dyDescent="0.25">
      <c r="A15" s="3">
        <v>76</v>
      </c>
      <c r="B15" s="4">
        <v>6184.02</v>
      </c>
    </row>
    <row r="16" spans="1:2" x14ac:dyDescent="0.25">
      <c r="A16" s="3">
        <v>63</v>
      </c>
      <c r="B16" s="4">
        <v>5040.5200000000004</v>
      </c>
    </row>
    <row r="17" spans="1:2" x14ac:dyDescent="0.25">
      <c r="A17" s="3">
        <v>90</v>
      </c>
      <c r="B17" s="4">
        <v>4833.3</v>
      </c>
    </row>
    <row r="18" spans="1:2" x14ac:dyDescent="0.25">
      <c r="A18" s="3">
        <v>84</v>
      </c>
      <c r="B18" s="4">
        <v>5592.44</v>
      </c>
    </row>
    <row r="19" spans="1:2" x14ac:dyDescent="0.25">
      <c r="A19" s="3">
        <v>75</v>
      </c>
      <c r="B19" s="4">
        <v>4984.34</v>
      </c>
    </row>
    <row r="20" spans="1:2" x14ac:dyDescent="0.25">
      <c r="A20" s="3">
        <v>61</v>
      </c>
      <c r="B20" s="4">
        <v>4638.09</v>
      </c>
    </row>
    <row r="21" spans="1:2" x14ac:dyDescent="0.25">
      <c r="A21" s="3">
        <v>46</v>
      </c>
      <c r="B21" s="4">
        <v>7518.82</v>
      </c>
    </row>
    <row r="22" spans="1:2" x14ac:dyDescent="0.25">
      <c r="A22" s="3">
        <v>55</v>
      </c>
      <c r="B22" s="4">
        <v>6045.48</v>
      </c>
    </row>
    <row r="23" spans="1:2" x14ac:dyDescent="0.25">
      <c r="A23" s="3">
        <v>79</v>
      </c>
      <c r="B23" s="4">
        <v>6270.92</v>
      </c>
    </row>
    <row r="24" spans="1:2" x14ac:dyDescent="0.25">
      <c r="A24" s="3">
        <v>72</v>
      </c>
      <c r="B24" s="4">
        <v>6056.61</v>
      </c>
    </row>
    <row r="25" spans="1:2" x14ac:dyDescent="0.25">
      <c r="A25" s="3">
        <v>83</v>
      </c>
      <c r="B25" s="4">
        <v>5886.19</v>
      </c>
    </row>
    <row r="26" spans="1:2" x14ac:dyDescent="0.25">
      <c r="A26" s="3">
        <v>73</v>
      </c>
      <c r="B26" s="4">
        <v>5617.56</v>
      </c>
    </row>
    <row r="27" spans="1:2" x14ac:dyDescent="0.25">
      <c r="A27" s="3">
        <v>83</v>
      </c>
      <c r="B27" s="4">
        <v>5501.29</v>
      </c>
    </row>
    <row r="28" spans="1:2" x14ac:dyDescent="0.25">
      <c r="A28" s="1">
        <f>SUM(A2:A27)</f>
        <v>1848</v>
      </c>
      <c r="B28" s="2">
        <f>SUM(B2:B27)</f>
        <v>144265.65</v>
      </c>
    </row>
  </sheetData>
  <phoneticPr fontId="0" type="noConversion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3545</v>
      </c>
      <c r="B2" s="7" t="s">
        <v>3546</v>
      </c>
      <c r="C2" s="8">
        <v>1</v>
      </c>
      <c r="D2" s="9">
        <v>299.99</v>
      </c>
      <c r="E2" s="8" t="s">
        <v>3547</v>
      </c>
      <c r="F2" s="7" t="s">
        <v>3363</v>
      </c>
      <c r="G2" s="10"/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HYPERLINK("http://slimages.macys.com/is/image/MCY/3969345 ")</f>
        <v xml:space="preserve">http://slimages.macys.com/is/image/MCY/3969345 </v>
      </c>
    </row>
    <row r="3" spans="1:12" ht="39.950000000000003" customHeight="1" x14ac:dyDescent="0.25">
      <c r="A3" s="6" t="s">
        <v>2977</v>
      </c>
      <c r="B3" s="7" t="s">
        <v>2978</v>
      </c>
      <c r="C3" s="8">
        <v>1</v>
      </c>
      <c r="D3" s="9">
        <v>299.99</v>
      </c>
      <c r="E3" s="8" t="s">
        <v>2979</v>
      </c>
      <c r="F3" s="7" t="s">
        <v>3925</v>
      </c>
      <c r="G3" s="10"/>
      <c r="H3" s="7" t="s">
        <v>3365</v>
      </c>
      <c r="I3" s="7" t="s">
        <v>3554</v>
      </c>
      <c r="J3" s="7" t="s">
        <v>3358</v>
      </c>
      <c r="K3" s="7" t="s">
        <v>2980</v>
      </c>
      <c r="L3" s="11" t="str">
        <f>HYPERLINK("http://slimages.macys.com/is/image/MCY/14313903 ")</f>
        <v xml:space="preserve">http://slimages.macys.com/is/image/MCY/14313903 </v>
      </c>
    </row>
    <row r="4" spans="1:12" ht="39.950000000000003" customHeight="1" x14ac:dyDescent="0.25">
      <c r="A4" s="6" t="s">
        <v>3559</v>
      </c>
      <c r="B4" s="7" t="s">
        <v>3560</v>
      </c>
      <c r="C4" s="8">
        <v>1</v>
      </c>
      <c r="D4" s="9">
        <v>259.99</v>
      </c>
      <c r="E4" s="8" t="s">
        <v>3561</v>
      </c>
      <c r="F4" s="7" t="s">
        <v>3363</v>
      </c>
      <c r="G4" s="10"/>
      <c r="H4" s="7" t="s">
        <v>3365</v>
      </c>
      <c r="I4" s="7" t="s">
        <v>3366</v>
      </c>
      <c r="J4" s="7" t="s">
        <v>3358</v>
      </c>
      <c r="K4" s="7" t="s">
        <v>3367</v>
      </c>
      <c r="L4" s="11" t="str">
        <f>HYPERLINK("http://slimages.macys.com/is/image/MCY/11953123 ")</f>
        <v xml:space="preserve">http://slimages.macys.com/is/image/MCY/11953123 </v>
      </c>
    </row>
    <row r="5" spans="1:12" ht="39.950000000000003" customHeight="1" x14ac:dyDescent="0.25">
      <c r="A5" s="6" t="s">
        <v>2981</v>
      </c>
      <c r="B5" s="7" t="s">
        <v>2982</v>
      </c>
      <c r="C5" s="8">
        <v>1</v>
      </c>
      <c r="D5" s="9">
        <v>132.99</v>
      </c>
      <c r="E5" s="8" t="s">
        <v>2983</v>
      </c>
      <c r="F5" s="7" t="s">
        <v>3553</v>
      </c>
      <c r="G5" s="10"/>
      <c r="H5" s="7" t="s">
        <v>3526</v>
      </c>
      <c r="I5" s="7" t="s">
        <v>3865</v>
      </c>
      <c r="J5" s="7" t="s">
        <v>3358</v>
      </c>
      <c r="K5" s="7"/>
      <c r="L5" s="11" t="str">
        <f>HYPERLINK("http://slimages.macys.com/is/image/MCY/15629302 ")</f>
        <v xml:space="preserve">http://slimages.macys.com/is/image/MCY/15629302 </v>
      </c>
    </row>
    <row r="6" spans="1:12" ht="39.950000000000003" customHeight="1" x14ac:dyDescent="0.25">
      <c r="A6" s="6" t="s">
        <v>2984</v>
      </c>
      <c r="B6" s="7" t="s">
        <v>2985</v>
      </c>
      <c r="C6" s="8">
        <v>1</v>
      </c>
      <c r="D6" s="9">
        <v>179.99</v>
      </c>
      <c r="E6" s="8">
        <v>22326322</v>
      </c>
      <c r="F6" s="7" t="s">
        <v>3477</v>
      </c>
      <c r="G6" s="10"/>
      <c r="H6" s="7" t="s">
        <v>3412</v>
      </c>
      <c r="I6" s="7" t="s">
        <v>3413</v>
      </c>
      <c r="J6" s="7" t="s">
        <v>3358</v>
      </c>
      <c r="K6" s="7" t="s">
        <v>3506</v>
      </c>
      <c r="L6" s="11" t="str">
        <f>HYPERLINK("http://slimages.macys.com/is/image/MCY/16688602 ")</f>
        <v xml:space="preserve">http://slimages.macys.com/is/image/MCY/16688602 </v>
      </c>
    </row>
    <row r="7" spans="1:12" ht="39.950000000000003" customHeight="1" x14ac:dyDescent="0.25">
      <c r="A7" s="6" t="s">
        <v>2986</v>
      </c>
      <c r="B7" s="7" t="s">
        <v>2987</v>
      </c>
      <c r="C7" s="8">
        <v>1</v>
      </c>
      <c r="D7" s="9">
        <v>78.11</v>
      </c>
      <c r="E7" s="8">
        <v>80836</v>
      </c>
      <c r="F7" s="7"/>
      <c r="G7" s="10"/>
      <c r="H7" s="7" t="s">
        <v>3412</v>
      </c>
      <c r="I7" s="7" t="s">
        <v>3595</v>
      </c>
      <c r="J7" s="7" t="s">
        <v>3358</v>
      </c>
      <c r="K7" s="7" t="s">
        <v>2988</v>
      </c>
      <c r="L7" s="11" t="str">
        <f>HYPERLINK("http://slimages.macys.com/is/image/MCY/14826453 ")</f>
        <v xml:space="preserve">http://slimages.macys.com/is/image/MCY/14826453 </v>
      </c>
    </row>
    <row r="8" spans="1:12" ht="39.950000000000003" customHeight="1" x14ac:dyDescent="0.25">
      <c r="A8" s="6" t="s">
        <v>2989</v>
      </c>
      <c r="B8" s="7" t="s">
        <v>2990</v>
      </c>
      <c r="C8" s="8">
        <v>1</v>
      </c>
      <c r="D8" s="9">
        <v>129.99</v>
      </c>
      <c r="E8" s="8">
        <v>224044</v>
      </c>
      <c r="F8" s="7" t="s">
        <v>3525</v>
      </c>
      <c r="G8" s="10"/>
      <c r="H8" s="7" t="s">
        <v>3492</v>
      </c>
      <c r="I8" s="7" t="s">
        <v>2991</v>
      </c>
      <c r="J8" s="7" t="s">
        <v>3358</v>
      </c>
      <c r="K8" s="7" t="s">
        <v>3521</v>
      </c>
      <c r="L8" s="11" t="str">
        <f>HYPERLINK("http://slimages.macys.com/is/image/MCY/12099426 ")</f>
        <v xml:space="preserve">http://slimages.macys.com/is/image/MCY/12099426 </v>
      </c>
    </row>
    <row r="9" spans="1:12" ht="39.950000000000003" customHeight="1" x14ac:dyDescent="0.25">
      <c r="A9" s="6" t="s">
        <v>2992</v>
      </c>
      <c r="B9" s="7" t="s">
        <v>2993</v>
      </c>
      <c r="C9" s="8">
        <v>1</v>
      </c>
      <c r="D9" s="9">
        <v>139.99</v>
      </c>
      <c r="E9" s="8" t="s">
        <v>2994</v>
      </c>
      <c r="F9" s="7" t="s">
        <v>3426</v>
      </c>
      <c r="G9" s="10"/>
      <c r="H9" s="7" t="s">
        <v>3412</v>
      </c>
      <c r="I9" s="7" t="s">
        <v>3436</v>
      </c>
      <c r="J9" s="7" t="s">
        <v>3358</v>
      </c>
      <c r="K9" s="7" t="s">
        <v>2995</v>
      </c>
      <c r="L9" s="11" t="str">
        <f>HYPERLINK("http://slimages.macys.com/is/image/MCY/9566755 ")</f>
        <v xml:space="preserve">http://slimages.macys.com/is/image/MCY/9566755 </v>
      </c>
    </row>
    <row r="10" spans="1:12" ht="39.950000000000003" customHeight="1" x14ac:dyDescent="0.25">
      <c r="A10" s="6" t="s">
        <v>3842</v>
      </c>
      <c r="B10" s="7" t="s">
        <v>3843</v>
      </c>
      <c r="C10" s="8">
        <v>1</v>
      </c>
      <c r="D10" s="9">
        <v>179.99</v>
      </c>
      <c r="E10" s="8" t="s">
        <v>3844</v>
      </c>
      <c r="F10" s="7" t="s">
        <v>3781</v>
      </c>
      <c r="G10" s="10"/>
      <c r="H10" s="7" t="s">
        <v>3365</v>
      </c>
      <c r="I10" s="7" t="s">
        <v>3385</v>
      </c>
      <c r="J10" s="7" t="s">
        <v>3358</v>
      </c>
      <c r="K10" s="7" t="s">
        <v>3845</v>
      </c>
      <c r="L10" s="11" t="str">
        <f>HYPERLINK("http://slimages.macys.com/is/image/MCY/15926393 ")</f>
        <v xml:space="preserve">http://slimages.macys.com/is/image/MCY/15926393 </v>
      </c>
    </row>
    <row r="11" spans="1:12" ht="39.950000000000003" customHeight="1" x14ac:dyDescent="0.25">
      <c r="A11" s="6" t="s">
        <v>2996</v>
      </c>
      <c r="B11" s="7" t="s">
        <v>2997</v>
      </c>
      <c r="C11" s="8">
        <v>1</v>
      </c>
      <c r="D11" s="9">
        <v>114.99</v>
      </c>
      <c r="E11" s="8" t="s">
        <v>2998</v>
      </c>
      <c r="F11" s="7" t="s">
        <v>3363</v>
      </c>
      <c r="G11" s="10"/>
      <c r="H11" s="7" t="s">
        <v>3422</v>
      </c>
      <c r="I11" s="7" t="s">
        <v>3423</v>
      </c>
      <c r="J11" s="7"/>
      <c r="K11" s="7"/>
      <c r="L11" s="11" t="str">
        <f>HYPERLINK("http://slimages.macys.com/is/image/MCY/17251776 ")</f>
        <v xml:space="preserve">http://slimages.macys.com/is/image/MCY/17251776 </v>
      </c>
    </row>
    <row r="12" spans="1:12" ht="39.950000000000003" customHeight="1" x14ac:dyDescent="0.25">
      <c r="A12" s="6" t="s">
        <v>2999</v>
      </c>
      <c r="B12" s="7" t="s">
        <v>3000</v>
      </c>
      <c r="C12" s="8">
        <v>1</v>
      </c>
      <c r="D12" s="9">
        <v>105.99</v>
      </c>
      <c r="E12" s="8" t="s">
        <v>3001</v>
      </c>
      <c r="F12" s="7" t="s">
        <v>3525</v>
      </c>
      <c r="G12" s="10"/>
      <c r="H12" s="7" t="s">
        <v>3412</v>
      </c>
      <c r="I12" s="7" t="s">
        <v>3527</v>
      </c>
      <c r="J12" s="7" t="s">
        <v>3358</v>
      </c>
      <c r="K12" s="7" t="s">
        <v>3390</v>
      </c>
      <c r="L12" s="11" t="str">
        <f>HYPERLINK("http://slimages.macys.com/is/image/MCY/9943402 ")</f>
        <v xml:space="preserve">http://slimages.macys.com/is/image/MCY/9943402 </v>
      </c>
    </row>
    <row r="13" spans="1:12" ht="39.950000000000003" customHeight="1" x14ac:dyDescent="0.25">
      <c r="A13" s="6" t="s">
        <v>3002</v>
      </c>
      <c r="B13" s="7" t="s">
        <v>3003</v>
      </c>
      <c r="C13" s="8">
        <v>1</v>
      </c>
      <c r="D13" s="9">
        <v>109.99</v>
      </c>
      <c r="E13" s="8" t="s">
        <v>3004</v>
      </c>
      <c r="F13" s="7" t="s">
        <v>3525</v>
      </c>
      <c r="G13" s="10"/>
      <c r="H13" s="7" t="s">
        <v>3412</v>
      </c>
      <c r="I13" s="7" t="s">
        <v>3436</v>
      </c>
      <c r="J13" s="7" t="s">
        <v>3358</v>
      </c>
      <c r="K13" s="7" t="s">
        <v>3005</v>
      </c>
      <c r="L13" s="11" t="str">
        <f>HYPERLINK("http://slimages.macys.com/is/image/MCY/12490092 ")</f>
        <v xml:space="preserve">http://slimages.macys.com/is/image/MCY/12490092 </v>
      </c>
    </row>
    <row r="14" spans="1:12" ht="39.950000000000003" customHeight="1" x14ac:dyDescent="0.25">
      <c r="A14" s="6" t="s">
        <v>3404</v>
      </c>
      <c r="B14" s="7" t="s">
        <v>3405</v>
      </c>
      <c r="C14" s="8">
        <v>1</v>
      </c>
      <c r="D14" s="9">
        <v>99.99</v>
      </c>
      <c r="E14" s="8" t="s">
        <v>3406</v>
      </c>
      <c r="F14" s="7" t="s">
        <v>3407</v>
      </c>
      <c r="G14" s="10"/>
      <c r="H14" s="7" t="s">
        <v>3408</v>
      </c>
      <c r="I14" s="7" t="s">
        <v>3409</v>
      </c>
      <c r="J14" s="7"/>
      <c r="K14" s="7"/>
      <c r="L14" s="11" t="str">
        <f>HYPERLINK("http://slimages.macys.com/is/image/MCY/18159733 ")</f>
        <v xml:space="preserve">http://slimages.macys.com/is/image/MCY/18159733 </v>
      </c>
    </row>
    <row r="15" spans="1:12" ht="39.950000000000003" customHeight="1" x14ac:dyDescent="0.25">
      <c r="A15" s="6" t="s">
        <v>3006</v>
      </c>
      <c r="B15" s="7" t="s">
        <v>3007</v>
      </c>
      <c r="C15" s="8">
        <v>1</v>
      </c>
      <c r="D15" s="9">
        <v>84.99</v>
      </c>
      <c r="E15" s="8" t="s">
        <v>3008</v>
      </c>
      <c r="F15" s="7" t="s">
        <v>3363</v>
      </c>
      <c r="G15" s="10" t="s">
        <v>3645</v>
      </c>
      <c r="H15" s="7" t="s">
        <v>3471</v>
      </c>
      <c r="I15" s="7" t="s">
        <v>3378</v>
      </c>
      <c r="J15" s="7" t="s">
        <v>3379</v>
      </c>
      <c r="K15" s="7" t="s">
        <v>3009</v>
      </c>
      <c r="L15" s="11" t="str">
        <f>HYPERLINK("http://slimages.macys.com/is/image/MCY/8589816 ")</f>
        <v xml:space="preserve">http://slimages.macys.com/is/image/MCY/8589816 </v>
      </c>
    </row>
    <row r="16" spans="1:12" ht="39.950000000000003" customHeight="1" x14ac:dyDescent="0.25">
      <c r="A16" s="6" t="s">
        <v>3010</v>
      </c>
      <c r="B16" s="7" t="s">
        <v>3011</v>
      </c>
      <c r="C16" s="8">
        <v>1</v>
      </c>
      <c r="D16" s="9">
        <v>59.99</v>
      </c>
      <c r="E16" s="8" t="s">
        <v>3012</v>
      </c>
      <c r="F16" s="7" t="s">
        <v>3498</v>
      </c>
      <c r="G16" s="10"/>
      <c r="H16" s="7" t="s">
        <v>3526</v>
      </c>
      <c r="I16" s="7" t="s">
        <v>3865</v>
      </c>
      <c r="J16" s="7" t="s">
        <v>3358</v>
      </c>
      <c r="K16" s="7" t="s">
        <v>3521</v>
      </c>
      <c r="L16" s="11" t="str">
        <f>HYPERLINK("http://slimages.macys.com/is/image/MCY/15390117 ")</f>
        <v xml:space="preserve">http://slimages.macys.com/is/image/MCY/15390117 </v>
      </c>
    </row>
    <row r="17" spans="1:12" ht="39.950000000000003" customHeight="1" x14ac:dyDescent="0.25">
      <c r="A17" s="6" t="s">
        <v>3013</v>
      </c>
      <c r="B17" s="7" t="s">
        <v>3014</v>
      </c>
      <c r="C17" s="8">
        <v>1</v>
      </c>
      <c r="D17" s="9">
        <v>59.99</v>
      </c>
      <c r="E17" s="8">
        <v>226463</v>
      </c>
      <c r="F17" s="7" t="s">
        <v>3525</v>
      </c>
      <c r="G17" s="10"/>
      <c r="H17" s="7" t="s">
        <v>3492</v>
      </c>
      <c r="I17" s="7" t="s">
        <v>2991</v>
      </c>
      <c r="J17" s="7" t="s">
        <v>3358</v>
      </c>
      <c r="K17" s="7" t="s">
        <v>3521</v>
      </c>
      <c r="L17" s="11" t="str">
        <f>HYPERLINK("http://slimages.macys.com/is/image/MCY/10754879 ")</f>
        <v xml:space="preserve">http://slimages.macys.com/is/image/MCY/10754879 </v>
      </c>
    </row>
    <row r="18" spans="1:12" ht="39.950000000000003" customHeight="1" x14ac:dyDescent="0.25">
      <c r="A18" s="6" t="s">
        <v>3015</v>
      </c>
      <c r="B18" s="7" t="s">
        <v>3016</v>
      </c>
      <c r="C18" s="8">
        <v>1</v>
      </c>
      <c r="D18" s="9">
        <v>88.99</v>
      </c>
      <c r="E18" s="8" t="s">
        <v>3017</v>
      </c>
      <c r="F18" s="7" t="s">
        <v>3525</v>
      </c>
      <c r="G18" s="10"/>
      <c r="H18" s="7" t="s">
        <v>3412</v>
      </c>
      <c r="I18" s="7" t="s">
        <v>3436</v>
      </c>
      <c r="J18" s="7" t="s">
        <v>3358</v>
      </c>
      <c r="K18" s="7" t="s">
        <v>3018</v>
      </c>
      <c r="L18" s="11" t="str">
        <f>HYPERLINK("http://slimages.macys.com/is/image/MCY/16418617 ")</f>
        <v xml:space="preserve">http://slimages.macys.com/is/image/MCY/16418617 </v>
      </c>
    </row>
    <row r="19" spans="1:12" ht="39.950000000000003" customHeight="1" x14ac:dyDescent="0.25">
      <c r="A19" s="6" t="s">
        <v>3019</v>
      </c>
      <c r="B19" s="7" t="s">
        <v>3020</v>
      </c>
      <c r="C19" s="8">
        <v>1</v>
      </c>
      <c r="D19" s="9">
        <v>79.989999999999995</v>
      </c>
      <c r="E19" s="8" t="s">
        <v>3021</v>
      </c>
      <c r="F19" s="7" t="s">
        <v>3384</v>
      </c>
      <c r="G19" s="10"/>
      <c r="H19" s="7" t="s">
        <v>3412</v>
      </c>
      <c r="I19" s="7" t="s">
        <v>3436</v>
      </c>
      <c r="J19" s="7" t="s">
        <v>3358</v>
      </c>
      <c r="K19" s="7" t="s">
        <v>3022</v>
      </c>
      <c r="L19" s="11" t="str">
        <f>HYPERLINK("http://slimages.macys.com/is/image/MCY/9188021 ")</f>
        <v xml:space="preserve">http://slimages.macys.com/is/image/MCY/9188021 </v>
      </c>
    </row>
    <row r="20" spans="1:12" ht="39.950000000000003" customHeight="1" x14ac:dyDescent="0.25">
      <c r="A20" s="6" t="s">
        <v>3023</v>
      </c>
      <c r="B20" s="7" t="s">
        <v>3024</v>
      </c>
      <c r="C20" s="8">
        <v>1</v>
      </c>
      <c r="D20" s="9">
        <v>53.99</v>
      </c>
      <c r="E20" s="8" t="s">
        <v>3025</v>
      </c>
      <c r="F20" s="7" t="s">
        <v>2740</v>
      </c>
      <c r="G20" s="10"/>
      <c r="H20" s="7" t="s">
        <v>3526</v>
      </c>
      <c r="I20" s="7" t="s">
        <v>3900</v>
      </c>
      <c r="J20" s="7" t="s">
        <v>3358</v>
      </c>
      <c r="K20" s="7" t="s">
        <v>3901</v>
      </c>
      <c r="L20" s="11" t="str">
        <f>HYPERLINK("http://slimages.macys.com/is/image/MCY/12902077 ")</f>
        <v xml:space="preserve">http://slimages.macys.com/is/image/MCY/12902077 </v>
      </c>
    </row>
    <row r="21" spans="1:12" ht="39.950000000000003" customHeight="1" x14ac:dyDescent="0.25">
      <c r="A21" s="6" t="s">
        <v>3026</v>
      </c>
      <c r="B21" s="7" t="s">
        <v>2495</v>
      </c>
      <c r="C21" s="8">
        <v>1</v>
      </c>
      <c r="D21" s="9">
        <v>139.99</v>
      </c>
      <c r="E21" s="8" t="s">
        <v>3027</v>
      </c>
      <c r="F21" s="7" t="s">
        <v>3363</v>
      </c>
      <c r="G21" s="10" t="s">
        <v>3028</v>
      </c>
      <c r="H21" s="7" t="s">
        <v>3365</v>
      </c>
      <c r="I21" s="7" t="s">
        <v>3366</v>
      </c>
      <c r="J21" s="7" t="s">
        <v>3358</v>
      </c>
      <c r="K21" s="7" t="s">
        <v>4138</v>
      </c>
      <c r="L21" s="11" t="str">
        <f>HYPERLINK("http://slimages.macys.com/is/image/MCY/8182285 ")</f>
        <v xml:space="preserve">http://slimages.macys.com/is/image/MCY/8182285 </v>
      </c>
    </row>
    <row r="22" spans="1:12" ht="39.950000000000003" customHeight="1" x14ac:dyDescent="0.25">
      <c r="A22" s="6" t="s">
        <v>2494</v>
      </c>
      <c r="B22" s="7" t="s">
        <v>2495</v>
      </c>
      <c r="C22" s="8">
        <v>1</v>
      </c>
      <c r="D22" s="9">
        <v>139.99</v>
      </c>
      <c r="E22" s="8" t="s">
        <v>2496</v>
      </c>
      <c r="F22" s="7" t="s">
        <v>3363</v>
      </c>
      <c r="G22" s="10" t="s">
        <v>2497</v>
      </c>
      <c r="H22" s="7" t="s">
        <v>3365</v>
      </c>
      <c r="I22" s="7" t="s">
        <v>3366</v>
      </c>
      <c r="J22" s="7" t="s">
        <v>3358</v>
      </c>
      <c r="K22" s="7" t="s">
        <v>4138</v>
      </c>
      <c r="L22" s="11" t="str">
        <f>HYPERLINK("http://slimages.macys.com/is/image/MCY/8182285 ")</f>
        <v xml:space="preserve">http://slimages.macys.com/is/image/MCY/8182285 </v>
      </c>
    </row>
    <row r="23" spans="1:12" ht="39.950000000000003" customHeight="1" x14ac:dyDescent="0.25">
      <c r="A23" s="6" t="s">
        <v>3029</v>
      </c>
      <c r="B23" s="7" t="s">
        <v>3030</v>
      </c>
      <c r="C23" s="8">
        <v>1</v>
      </c>
      <c r="D23" s="9">
        <v>64.989999999999995</v>
      </c>
      <c r="E23" s="8" t="s">
        <v>3031</v>
      </c>
      <c r="F23" s="7" t="s">
        <v>3363</v>
      </c>
      <c r="G23" s="10" t="s">
        <v>3645</v>
      </c>
      <c r="H23" s="7" t="s">
        <v>3388</v>
      </c>
      <c r="I23" s="7" t="s">
        <v>3461</v>
      </c>
      <c r="J23" s="7"/>
      <c r="K23" s="7"/>
      <c r="L23" s="11" t="str">
        <f>HYPERLINK("http://slimages.macys.com/is/image/MCY/17546514 ")</f>
        <v xml:space="preserve">http://slimages.macys.com/is/image/MCY/17546514 </v>
      </c>
    </row>
    <row r="24" spans="1:12" ht="39.950000000000003" customHeight="1" x14ac:dyDescent="0.25">
      <c r="A24" s="6" t="s">
        <v>3032</v>
      </c>
      <c r="B24" s="7" t="s">
        <v>3033</v>
      </c>
      <c r="C24" s="8">
        <v>1</v>
      </c>
      <c r="D24" s="9">
        <v>73.989999999999995</v>
      </c>
      <c r="E24" s="8" t="s">
        <v>3034</v>
      </c>
      <c r="F24" s="7"/>
      <c r="G24" s="10" t="s">
        <v>3504</v>
      </c>
      <c r="H24" s="7" t="s">
        <v>3492</v>
      </c>
      <c r="I24" s="7" t="s">
        <v>3035</v>
      </c>
      <c r="J24" s="7" t="s">
        <v>3358</v>
      </c>
      <c r="K24" s="7" t="s">
        <v>3036</v>
      </c>
      <c r="L24" s="11" t="str">
        <f>HYPERLINK("http://slimages.macys.com/is/image/MCY/10809401 ")</f>
        <v xml:space="preserve">http://slimages.macys.com/is/image/MCY/10809401 </v>
      </c>
    </row>
    <row r="25" spans="1:12" ht="39.950000000000003" customHeight="1" x14ac:dyDescent="0.25">
      <c r="A25" s="6" t="s">
        <v>3037</v>
      </c>
      <c r="B25" s="7" t="s">
        <v>3038</v>
      </c>
      <c r="C25" s="8">
        <v>2</v>
      </c>
      <c r="D25" s="9">
        <v>117.98</v>
      </c>
      <c r="E25" s="8" t="s">
        <v>3039</v>
      </c>
      <c r="F25" s="7" t="s">
        <v>3384</v>
      </c>
      <c r="G25" s="10"/>
      <c r="H25" s="7" t="s">
        <v>3492</v>
      </c>
      <c r="I25" s="7" t="s">
        <v>3436</v>
      </c>
      <c r="J25" s="7" t="s">
        <v>3358</v>
      </c>
      <c r="K25" s="7" t="s">
        <v>3040</v>
      </c>
      <c r="L25" s="11" t="str">
        <f>HYPERLINK("http://slimages.macys.com/is/image/MCY/9539688 ")</f>
        <v xml:space="preserve">http://slimages.macys.com/is/image/MCY/9539688 </v>
      </c>
    </row>
    <row r="26" spans="1:12" ht="39.950000000000003" customHeight="1" x14ac:dyDescent="0.25">
      <c r="A26" s="6" t="s">
        <v>3041</v>
      </c>
      <c r="B26" s="7" t="s">
        <v>3042</v>
      </c>
      <c r="C26" s="8">
        <v>1</v>
      </c>
      <c r="D26" s="9">
        <v>79.989999999999995</v>
      </c>
      <c r="E26" s="8">
        <v>10006939000</v>
      </c>
      <c r="F26" s="7" t="s">
        <v>3600</v>
      </c>
      <c r="G26" s="10"/>
      <c r="H26" s="7" t="s">
        <v>3658</v>
      </c>
      <c r="I26" s="7" t="s">
        <v>3905</v>
      </c>
      <c r="J26" s="7" t="s">
        <v>3358</v>
      </c>
      <c r="K26" s="7"/>
      <c r="L26" s="11" t="str">
        <f>HYPERLINK("http://slimages.macys.com/is/image/MCY/14725487 ")</f>
        <v xml:space="preserve">http://slimages.macys.com/is/image/MCY/14725487 </v>
      </c>
    </row>
    <row r="27" spans="1:12" ht="39.950000000000003" customHeight="1" x14ac:dyDescent="0.25">
      <c r="A27" s="6" t="s">
        <v>3043</v>
      </c>
      <c r="B27" s="7" t="s">
        <v>3044</v>
      </c>
      <c r="C27" s="8">
        <v>1</v>
      </c>
      <c r="D27" s="9">
        <v>55.99</v>
      </c>
      <c r="E27" s="8" t="s">
        <v>3045</v>
      </c>
      <c r="F27" s="7" t="s">
        <v>3525</v>
      </c>
      <c r="G27" s="10" t="s">
        <v>3914</v>
      </c>
      <c r="H27" s="7" t="s">
        <v>3397</v>
      </c>
      <c r="I27" s="7" t="s">
        <v>3581</v>
      </c>
      <c r="J27" s="7" t="s">
        <v>3358</v>
      </c>
      <c r="K27" s="7" t="s">
        <v>3046</v>
      </c>
      <c r="L27" s="11" t="str">
        <f>HYPERLINK("http://slimages.macys.com/is/image/MCY/10425956 ")</f>
        <v xml:space="preserve">http://slimages.macys.com/is/image/MCY/10425956 </v>
      </c>
    </row>
    <row r="28" spans="1:12" ht="39.950000000000003" customHeight="1" x14ac:dyDescent="0.25">
      <c r="A28" s="6" t="s">
        <v>3047</v>
      </c>
      <c r="B28" s="7" t="s">
        <v>3048</v>
      </c>
      <c r="C28" s="8">
        <v>1</v>
      </c>
      <c r="D28" s="9">
        <v>78.11</v>
      </c>
      <c r="E28" s="8" t="s">
        <v>3049</v>
      </c>
      <c r="F28" s="7"/>
      <c r="G28" s="10"/>
      <c r="H28" s="7" t="s">
        <v>3658</v>
      </c>
      <c r="I28" s="7" t="s">
        <v>2690</v>
      </c>
      <c r="J28" s="7"/>
      <c r="K28" s="7"/>
      <c r="L28" s="11" t="str">
        <f>HYPERLINK("http://slimages.macys.com/is/image/MCY/18491886 ")</f>
        <v xml:space="preserve">http://slimages.macys.com/is/image/MCY/18491886 </v>
      </c>
    </row>
    <row r="29" spans="1:12" ht="39.950000000000003" customHeight="1" x14ac:dyDescent="0.25">
      <c r="A29" s="6" t="s">
        <v>3050</v>
      </c>
      <c r="B29" s="7" t="s">
        <v>3051</v>
      </c>
      <c r="C29" s="8">
        <v>1</v>
      </c>
      <c r="D29" s="9">
        <v>49.99</v>
      </c>
      <c r="E29" s="8">
        <v>21452122</v>
      </c>
      <c r="F29" s="7" t="s">
        <v>3525</v>
      </c>
      <c r="G29" s="10"/>
      <c r="H29" s="7" t="s">
        <v>3412</v>
      </c>
      <c r="I29" s="7" t="s">
        <v>3413</v>
      </c>
      <c r="J29" s="7" t="s">
        <v>3358</v>
      </c>
      <c r="K29" s="7" t="s">
        <v>3506</v>
      </c>
      <c r="L29" s="11" t="str">
        <f>HYPERLINK("http://slimages.macys.com/is/image/MCY/14633940 ")</f>
        <v xml:space="preserve">http://slimages.macys.com/is/image/MCY/14633940 </v>
      </c>
    </row>
    <row r="30" spans="1:12" ht="39.950000000000003" customHeight="1" x14ac:dyDescent="0.25">
      <c r="A30" s="6" t="s">
        <v>3052</v>
      </c>
      <c r="B30" s="7" t="s">
        <v>3053</v>
      </c>
      <c r="C30" s="8">
        <v>1</v>
      </c>
      <c r="D30" s="9">
        <v>49.99</v>
      </c>
      <c r="E30" s="8" t="s">
        <v>3054</v>
      </c>
      <c r="F30" s="7" t="s">
        <v>3363</v>
      </c>
      <c r="G30" s="10"/>
      <c r="H30" s="7" t="s">
        <v>3412</v>
      </c>
      <c r="I30" s="7" t="s">
        <v>3413</v>
      </c>
      <c r="J30" s="7" t="s">
        <v>3358</v>
      </c>
      <c r="K30" s="7" t="s">
        <v>4098</v>
      </c>
      <c r="L30" s="11" t="str">
        <f>HYPERLINK("http://slimages.macys.com/is/image/MCY/9330026 ")</f>
        <v xml:space="preserve">http://slimages.macys.com/is/image/MCY/9330026 </v>
      </c>
    </row>
    <row r="31" spans="1:12" ht="39.950000000000003" customHeight="1" x14ac:dyDescent="0.25">
      <c r="A31" s="6" t="s">
        <v>3055</v>
      </c>
      <c r="B31" s="7" t="s">
        <v>3056</v>
      </c>
      <c r="C31" s="8">
        <v>1</v>
      </c>
      <c r="D31" s="9">
        <v>49.99</v>
      </c>
      <c r="E31" s="8" t="s">
        <v>3057</v>
      </c>
      <c r="F31" s="7"/>
      <c r="G31" s="10"/>
      <c r="H31" s="7" t="s">
        <v>3412</v>
      </c>
      <c r="I31" s="7" t="s">
        <v>3510</v>
      </c>
      <c r="J31" s="7"/>
      <c r="K31" s="7"/>
      <c r="L31" s="11" t="str">
        <f>HYPERLINK("http://slimages.macys.com/is/image/MCY/17088229 ")</f>
        <v xml:space="preserve">http://slimages.macys.com/is/image/MCY/17088229 </v>
      </c>
    </row>
    <row r="32" spans="1:12" ht="39.950000000000003" customHeight="1" x14ac:dyDescent="0.25">
      <c r="A32" s="6" t="s">
        <v>3058</v>
      </c>
      <c r="B32" s="7" t="s">
        <v>3059</v>
      </c>
      <c r="C32" s="8">
        <v>1</v>
      </c>
      <c r="D32" s="9">
        <v>59.99</v>
      </c>
      <c r="E32" s="8" t="s">
        <v>3060</v>
      </c>
      <c r="F32" s="7" t="s">
        <v>4219</v>
      </c>
      <c r="G32" s="10"/>
      <c r="H32" s="7" t="s">
        <v>3418</v>
      </c>
      <c r="I32" s="7" t="s">
        <v>4224</v>
      </c>
      <c r="J32" s="7" t="s">
        <v>3358</v>
      </c>
      <c r="K32" s="7" t="s">
        <v>3521</v>
      </c>
      <c r="L32" s="11" t="str">
        <f>HYPERLINK("http://slimages.macys.com/is/image/MCY/17667941 ")</f>
        <v xml:space="preserve">http://slimages.macys.com/is/image/MCY/17667941 </v>
      </c>
    </row>
    <row r="33" spans="1:12" ht="39.950000000000003" customHeight="1" x14ac:dyDescent="0.25">
      <c r="A33" s="6" t="s">
        <v>3061</v>
      </c>
      <c r="B33" s="7" t="s">
        <v>3062</v>
      </c>
      <c r="C33" s="8">
        <v>1</v>
      </c>
      <c r="D33" s="9">
        <v>57.99</v>
      </c>
      <c r="E33" s="8" t="s">
        <v>3063</v>
      </c>
      <c r="F33" s="7" t="s">
        <v>3363</v>
      </c>
      <c r="G33" s="10"/>
      <c r="H33" s="7" t="s">
        <v>3492</v>
      </c>
      <c r="I33" s="7" t="s">
        <v>3064</v>
      </c>
      <c r="J33" s="7" t="s">
        <v>3358</v>
      </c>
      <c r="K33" s="7" t="s">
        <v>3390</v>
      </c>
      <c r="L33" s="11" t="str">
        <f>HYPERLINK("http://slimages.macys.com/is/image/MCY/14425148 ")</f>
        <v xml:space="preserve">http://slimages.macys.com/is/image/MCY/14425148 </v>
      </c>
    </row>
    <row r="34" spans="1:12" ht="39.950000000000003" customHeight="1" x14ac:dyDescent="0.25">
      <c r="A34" s="6" t="s">
        <v>3065</v>
      </c>
      <c r="B34" s="7" t="s">
        <v>3066</v>
      </c>
      <c r="C34" s="8">
        <v>1</v>
      </c>
      <c r="D34" s="9">
        <v>37.99</v>
      </c>
      <c r="E34" s="8" t="s">
        <v>3067</v>
      </c>
      <c r="F34" s="7" t="s">
        <v>3706</v>
      </c>
      <c r="G34" s="10"/>
      <c r="H34" s="7" t="s">
        <v>3526</v>
      </c>
      <c r="I34" s="7" t="s">
        <v>3900</v>
      </c>
      <c r="J34" s="7" t="s">
        <v>3358</v>
      </c>
      <c r="K34" s="7" t="s">
        <v>3901</v>
      </c>
      <c r="L34" s="11" t="str">
        <f>HYPERLINK("http://slimages.macys.com/is/image/MCY/12899987 ")</f>
        <v xml:space="preserve">http://slimages.macys.com/is/image/MCY/12899987 </v>
      </c>
    </row>
    <row r="35" spans="1:12" ht="39.950000000000003" customHeight="1" x14ac:dyDescent="0.25">
      <c r="A35" s="6" t="s">
        <v>3068</v>
      </c>
      <c r="B35" s="7" t="s">
        <v>3069</v>
      </c>
      <c r="C35" s="8">
        <v>1</v>
      </c>
      <c r="D35" s="9">
        <v>39.99</v>
      </c>
      <c r="E35" s="8">
        <v>17629038</v>
      </c>
      <c r="F35" s="7" t="s">
        <v>3525</v>
      </c>
      <c r="G35" s="10"/>
      <c r="H35" s="7" t="s">
        <v>3397</v>
      </c>
      <c r="I35" s="7" t="s">
        <v>3565</v>
      </c>
      <c r="J35" s="7" t="s">
        <v>3358</v>
      </c>
      <c r="K35" s="7" t="s">
        <v>3070</v>
      </c>
      <c r="L35" s="11" t="str">
        <f>HYPERLINK("http://slimages.macys.com/is/image/MCY/3073694 ")</f>
        <v xml:space="preserve">http://slimages.macys.com/is/image/MCY/3073694 </v>
      </c>
    </row>
    <row r="36" spans="1:12" ht="39.950000000000003" customHeight="1" x14ac:dyDescent="0.25">
      <c r="A36" s="6" t="s">
        <v>3071</v>
      </c>
      <c r="B36" s="7" t="s">
        <v>3072</v>
      </c>
      <c r="C36" s="8">
        <v>1</v>
      </c>
      <c r="D36" s="9">
        <v>39.99</v>
      </c>
      <c r="E36" s="8" t="s">
        <v>3073</v>
      </c>
      <c r="F36" s="7" t="s">
        <v>3384</v>
      </c>
      <c r="G36" s="10"/>
      <c r="H36" s="7" t="s">
        <v>3515</v>
      </c>
      <c r="I36" s="7" t="s">
        <v>3436</v>
      </c>
      <c r="J36" s="7" t="s">
        <v>3358</v>
      </c>
      <c r="K36" s="7" t="s">
        <v>3390</v>
      </c>
      <c r="L36" s="11" t="str">
        <f>HYPERLINK("http://slimages.macys.com/is/image/MCY/10082172 ")</f>
        <v xml:space="preserve">http://slimages.macys.com/is/image/MCY/10082172 </v>
      </c>
    </row>
    <row r="37" spans="1:12" ht="39.950000000000003" customHeight="1" x14ac:dyDescent="0.25">
      <c r="A37" s="6" t="s">
        <v>3074</v>
      </c>
      <c r="B37" s="7" t="s">
        <v>3075</v>
      </c>
      <c r="C37" s="8">
        <v>1</v>
      </c>
      <c r="D37" s="9">
        <v>32.99</v>
      </c>
      <c r="E37" s="8" t="s">
        <v>3076</v>
      </c>
      <c r="F37" s="7" t="s">
        <v>3363</v>
      </c>
      <c r="G37" s="10"/>
      <c r="H37" s="7" t="s">
        <v>3526</v>
      </c>
      <c r="I37" s="7" t="s">
        <v>4128</v>
      </c>
      <c r="J37" s="7" t="s">
        <v>3358</v>
      </c>
      <c r="K37" s="7" t="s">
        <v>3390</v>
      </c>
      <c r="L37" s="11" t="str">
        <f>HYPERLINK("http://slimages.macys.com/is/image/MCY/15704623 ")</f>
        <v xml:space="preserve">http://slimages.macys.com/is/image/MCY/15704623 </v>
      </c>
    </row>
    <row r="38" spans="1:12" ht="39.950000000000003" customHeight="1" x14ac:dyDescent="0.25">
      <c r="A38" s="6" t="s">
        <v>3077</v>
      </c>
      <c r="B38" s="7" t="s">
        <v>3078</v>
      </c>
      <c r="C38" s="8">
        <v>1</v>
      </c>
      <c r="D38" s="9">
        <v>31.99</v>
      </c>
      <c r="E38" s="8" t="s">
        <v>3079</v>
      </c>
      <c r="F38" s="7" t="s">
        <v>3525</v>
      </c>
      <c r="G38" s="10"/>
      <c r="H38" s="7" t="s">
        <v>3515</v>
      </c>
      <c r="I38" s="7" t="s">
        <v>3436</v>
      </c>
      <c r="J38" s="7" t="s">
        <v>3358</v>
      </c>
      <c r="K38" s="7" t="s">
        <v>3506</v>
      </c>
      <c r="L38" s="11" t="str">
        <f>HYPERLINK("http://slimages.macys.com/is/image/MCY/10082222 ")</f>
        <v xml:space="preserve">http://slimages.macys.com/is/image/MCY/10082222 </v>
      </c>
    </row>
    <row r="39" spans="1:12" ht="39.950000000000003" customHeight="1" x14ac:dyDescent="0.25">
      <c r="A39" s="6" t="s">
        <v>3080</v>
      </c>
      <c r="B39" s="7" t="s">
        <v>3081</v>
      </c>
      <c r="C39" s="8">
        <v>1</v>
      </c>
      <c r="D39" s="9">
        <v>29.99</v>
      </c>
      <c r="E39" s="8" t="s">
        <v>3082</v>
      </c>
      <c r="F39" s="7" t="s">
        <v>3355</v>
      </c>
      <c r="G39" s="10"/>
      <c r="H39" s="7" t="s">
        <v>3431</v>
      </c>
      <c r="I39" s="7" t="s">
        <v>3432</v>
      </c>
      <c r="J39" s="7"/>
      <c r="K39" s="7"/>
      <c r="L39" s="11" t="str">
        <f>HYPERLINK("http://slimages.macys.com/is/image/MCY/17922649 ")</f>
        <v xml:space="preserve">http://slimages.macys.com/is/image/MCY/17922649 </v>
      </c>
    </row>
    <row r="40" spans="1:12" ht="39.950000000000003" customHeight="1" x14ac:dyDescent="0.25">
      <c r="A40" s="6" t="s">
        <v>3083</v>
      </c>
      <c r="B40" s="7" t="s">
        <v>3084</v>
      </c>
      <c r="C40" s="8">
        <v>1</v>
      </c>
      <c r="D40" s="9">
        <v>16.989999999999998</v>
      </c>
      <c r="E40" s="8" t="s">
        <v>3085</v>
      </c>
      <c r="F40" s="7" t="s">
        <v>3363</v>
      </c>
      <c r="G40" s="10"/>
      <c r="H40" s="7" t="s">
        <v>3388</v>
      </c>
      <c r="I40" s="7" t="s">
        <v>4188</v>
      </c>
      <c r="J40" s="7"/>
      <c r="K40" s="7"/>
      <c r="L40" s="11" t="str">
        <f>HYPERLINK("http://slimages.macys.com/is/image/MCY/17934766 ")</f>
        <v xml:space="preserve">http://slimages.macys.com/is/image/MCY/17934766 </v>
      </c>
    </row>
    <row r="41" spans="1:12" ht="39.950000000000003" customHeight="1" x14ac:dyDescent="0.25">
      <c r="A41" s="6" t="s">
        <v>3086</v>
      </c>
      <c r="B41" s="7" t="s">
        <v>3087</v>
      </c>
      <c r="C41" s="8">
        <v>4</v>
      </c>
      <c r="D41" s="9">
        <v>99.96</v>
      </c>
      <c r="E41" s="8" t="s">
        <v>3088</v>
      </c>
      <c r="F41" s="7" t="s">
        <v>3384</v>
      </c>
      <c r="G41" s="10"/>
      <c r="H41" s="7" t="s">
        <v>3492</v>
      </c>
      <c r="I41" s="7" t="s">
        <v>3436</v>
      </c>
      <c r="J41" s="7" t="s">
        <v>3358</v>
      </c>
      <c r="K41" s="7" t="s">
        <v>3089</v>
      </c>
      <c r="L41" s="11" t="str">
        <f>HYPERLINK("http://slimages.macys.com/is/image/MCY/9539706 ")</f>
        <v xml:space="preserve">http://slimages.macys.com/is/image/MCY/9539706 </v>
      </c>
    </row>
    <row r="42" spans="1:12" ht="39.950000000000003" customHeight="1" x14ac:dyDescent="0.25">
      <c r="A42" s="6" t="s">
        <v>3090</v>
      </c>
      <c r="B42" s="7" t="s">
        <v>3091</v>
      </c>
      <c r="C42" s="8">
        <v>1</v>
      </c>
      <c r="D42" s="9">
        <v>28.99</v>
      </c>
      <c r="E42" s="8" t="s">
        <v>3092</v>
      </c>
      <c r="F42" s="7" t="s">
        <v>3781</v>
      </c>
      <c r="G42" s="10"/>
      <c r="H42" s="7" t="s">
        <v>3492</v>
      </c>
      <c r="I42" s="7" t="s">
        <v>3436</v>
      </c>
      <c r="J42" s="7" t="s">
        <v>3358</v>
      </c>
      <c r="K42" s="7"/>
      <c r="L42" s="11" t="str">
        <f>HYPERLINK("http://slimages.macys.com/is/image/MCY/9309867 ")</f>
        <v xml:space="preserve">http://slimages.macys.com/is/image/MCY/9309867 </v>
      </c>
    </row>
    <row r="43" spans="1:12" ht="39.950000000000003" customHeight="1" x14ac:dyDescent="0.25">
      <c r="A43" s="6" t="s">
        <v>3093</v>
      </c>
      <c r="B43" s="7" t="s">
        <v>3094</v>
      </c>
      <c r="C43" s="8">
        <v>1</v>
      </c>
      <c r="D43" s="9">
        <v>78.11</v>
      </c>
      <c r="E43" s="8">
        <v>64100</v>
      </c>
      <c r="F43" s="7"/>
      <c r="G43" s="10"/>
      <c r="H43" s="7" t="s">
        <v>3388</v>
      </c>
      <c r="I43" s="7" t="s">
        <v>3389</v>
      </c>
      <c r="J43" s="7" t="s">
        <v>3358</v>
      </c>
      <c r="K43" s="7" t="s">
        <v>3095</v>
      </c>
      <c r="L43" s="11" t="str">
        <f>HYPERLINK("http://slimages.macys.com/is/image/MCY/13768152 ")</f>
        <v xml:space="preserve">http://slimages.macys.com/is/image/MCY/13768152 </v>
      </c>
    </row>
    <row r="44" spans="1:12" ht="39.950000000000003" customHeight="1" x14ac:dyDescent="0.25">
      <c r="A44" s="6" t="s">
        <v>3096</v>
      </c>
      <c r="B44" s="7" t="s">
        <v>3097</v>
      </c>
      <c r="C44" s="8">
        <v>1</v>
      </c>
      <c r="D44" s="9">
        <v>19.989999999999998</v>
      </c>
      <c r="E44" s="8" t="s">
        <v>3098</v>
      </c>
      <c r="F44" s="7" t="s">
        <v>3384</v>
      </c>
      <c r="G44" s="10" t="s">
        <v>3504</v>
      </c>
      <c r="H44" s="7" t="s">
        <v>3515</v>
      </c>
      <c r="I44" s="7" t="s">
        <v>3099</v>
      </c>
      <c r="J44" s="7"/>
      <c r="K44" s="7"/>
      <c r="L44" s="11" t="str">
        <f>HYPERLINK("http://slimages.macys.com/is/image/MCY/17817203 ")</f>
        <v xml:space="preserve">http://slimages.macys.com/is/image/MCY/17817203 </v>
      </c>
    </row>
    <row r="45" spans="1:12" ht="39.950000000000003" customHeight="1" x14ac:dyDescent="0.25">
      <c r="A45" s="6" t="s">
        <v>3100</v>
      </c>
      <c r="B45" s="7" t="s">
        <v>3101</v>
      </c>
      <c r="C45" s="8">
        <v>1</v>
      </c>
      <c r="D45" s="9">
        <v>19.989999999999998</v>
      </c>
      <c r="E45" s="8">
        <v>56508</v>
      </c>
      <c r="F45" s="7" t="s">
        <v>3531</v>
      </c>
      <c r="G45" s="10"/>
      <c r="H45" s="7" t="s">
        <v>3492</v>
      </c>
      <c r="I45" s="7" t="s">
        <v>3636</v>
      </c>
      <c r="J45" s="7" t="s">
        <v>3358</v>
      </c>
      <c r="K45" s="7" t="s">
        <v>3390</v>
      </c>
      <c r="L45" s="11" t="str">
        <f>HYPERLINK("http://slimages.macys.com/is/image/MCY/16060018 ")</f>
        <v xml:space="preserve">http://slimages.macys.com/is/image/MCY/16060018 </v>
      </c>
    </row>
    <row r="46" spans="1:12" ht="39.950000000000003" customHeight="1" x14ac:dyDescent="0.25">
      <c r="A46" s="6" t="s">
        <v>3102</v>
      </c>
      <c r="B46" s="7" t="s">
        <v>3103</v>
      </c>
      <c r="C46" s="8">
        <v>2</v>
      </c>
      <c r="D46" s="9">
        <v>51.98</v>
      </c>
      <c r="E46" s="8" t="s">
        <v>3104</v>
      </c>
      <c r="F46" s="7" t="s">
        <v>3673</v>
      </c>
      <c r="G46" s="10"/>
      <c r="H46" s="7" t="s">
        <v>4165</v>
      </c>
      <c r="I46" s="7" t="s">
        <v>4166</v>
      </c>
      <c r="J46" s="7" t="s">
        <v>3692</v>
      </c>
      <c r="K46" s="7" t="s">
        <v>4167</v>
      </c>
      <c r="L46" s="11" t="str">
        <f>HYPERLINK("http://slimages.macys.com/is/image/MCY/9898874 ")</f>
        <v xml:space="preserve">http://slimages.macys.com/is/image/MCY/9898874 </v>
      </c>
    </row>
    <row r="47" spans="1:12" ht="39.950000000000003" customHeight="1" x14ac:dyDescent="0.25">
      <c r="A47" s="6" t="s">
        <v>3105</v>
      </c>
      <c r="B47" s="7" t="s">
        <v>3106</v>
      </c>
      <c r="C47" s="8">
        <v>3</v>
      </c>
      <c r="D47" s="9">
        <v>47.97</v>
      </c>
      <c r="E47" s="8">
        <v>55371</v>
      </c>
      <c r="F47" s="7" t="s">
        <v>3706</v>
      </c>
      <c r="G47" s="10"/>
      <c r="H47" s="7" t="s">
        <v>3492</v>
      </c>
      <c r="I47" s="7" t="s">
        <v>3636</v>
      </c>
      <c r="J47" s="7" t="s">
        <v>3358</v>
      </c>
      <c r="K47" s="7" t="s">
        <v>3390</v>
      </c>
      <c r="L47" s="11" t="str">
        <f>HYPERLINK("http://slimages.macys.com/is/image/MCY/10010137 ")</f>
        <v xml:space="preserve">http://slimages.macys.com/is/image/MCY/10010137 </v>
      </c>
    </row>
    <row r="48" spans="1:12" ht="39.950000000000003" customHeight="1" x14ac:dyDescent="0.25">
      <c r="A48" s="6" t="s">
        <v>3107</v>
      </c>
      <c r="B48" s="7" t="s">
        <v>3108</v>
      </c>
      <c r="C48" s="8">
        <v>1</v>
      </c>
      <c r="D48" s="9">
        <v>54.99</v>
      </c>
      <c r="E48" s="8">
        <v>848971029275</v>
      </c>
      <c r="F48" s="7" t="s">
        <v>3542</v>
      </c>
      <c r="G48" s="10" t="s">
        <v>3504</v>
      </c>
      <c r="H48" s="7" t="s">
        <v>3388</v>
      </c>
      <c r="I48" s="7" t="s">
        <v>3461</v>
      </c>
      <c r="J48" s="7"/>
      <c r="K48" s="7"/>
      <c r="L48" s="11"/>
    </row>
    <row r="49" spans="1:12" ht="39.950000000000003" customHeight="1" x14ac:dyDescent="0.25">
      <c r="A49" s="6" t="s">
        <v>3540</v>
      </c>
      <c r="B49" s="7" t="s">
        <v>3541</v>
      </c>
      <c r="C49" s="8">
        <v>14</v>
      </c>
      <c r="D49" s="9">
        <v>560</v>
      </c>
      <c r="E49" s="8"/>
      <c r="F49" s="7" t="s">
        <v>3542</v>
      </c>
      <c r="G49" s="10" t="s">
        <v>3504</v>
      </c>
      <c r="H49" s="7" t="s">
        <v>3543</v>
      </c>
      <c r="I49" s="7" t="s">
        <v>3544</v>
      </c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3109</v>
      </c>
      <c r="B2" s="7" t="s">
        <v>3110</v>
      </c>
      <c r="C2" s="8">
        <v>1</v>
      </c>
      <c r="D2" s="9">
        <v>669.99</v>
      </c>
      <c r="E2" s="8" t="s">
        <v>3111</v>
      </c>
      <c r="F2" s="7" t="s">
        <v>3617</v>
      </c>
      <c r="G2" s="10"/>
      <c r="H2" s="7" t="s">
        <v>3412</v>
      </c>
      <c r="I2" s="7" t="s">
        <v>2526</v>
      </c>
      <c r="J2" s="7" t="s">
        <v>3608</v>
      </c>
      <c r="K2" s="7" t="s">
        <v>3390</v>
      </c>
      <c r="L2" s="11" t="str">
        <f>HYPERLINK("http://slimages.macys.com/is/image/MCY/12472707 ")</f>
        <v xml:space="preserve">http://slimages.macys.com/is/image/MCY/12472707 </v>
      </c>
    </row>
    <row r="3" spans="1:12" ht="39.950000000000003" customHeight="1" x14ac:dyDescent="0.25">
      <c r="A3" s="6" t="s">
        <v>3112</v>
      </c>
      <c r="B3" s="7" t="s">
        <v>3113</v>
      </c>
      <c r="C3" s="8">
        <v>1</v>
      </c>
      <c r="D3" s="9">
        <v>239.99</v>
      </c>
      <c r="E3" s="8" t="s">
        <v>3114</v>
      </c>
      <c r="F3" s="7" t="s">
        <v>3363</v>
      </c>
      <c r="G3" s="10" t="s">
        <v>3364</v>
      </c>
      <c r="H3" s="7" t="s">
        <v>3377</v>
      </c>
      <c r="I3" s="7" t="s">
        <v>3378</v>
      </c>
      <c r="J3" s="7" t="s">
        <v>3379</v>
      </c>
      <c r="K3" s="7" t="s">
        <v>3380</v>
      </c>
      <c r="L3" s="11" t="str">
        <f>HYPERLINK("http://slimages.macys.com/is/image/MCY/3962568 ")</f>
        <v xml:space="preserve">http://slimages.macys.com/is/image/MCY/3962568 </v>
      </c>
    </row>
    <row r="4" spans="1:12" ht="39.950000000000003" customHeight="1" x14ac:dyDescent="0.25">
      <c r="A4" s="6" t="s">
        <v>3115</v>
      </c>
      <c r="B4" s="7" t="s">
        <v>3116</v>
      </c>
      <c r="C4" s="8">
        <v>1</v>
      </c>
      <c r="D4" s="9">
        <v>149.99</v>
      </c>
      <c r="E4" s="8" t="s">
        <v>3117</v>
      </c>
      <c r="F4" s="7" t="s">
        <v>3802</v>
      </c>
      <c r="G4" s="10"/>
      <c r="H4" s="7" t="s">
        <v>3427</v>
      </c>
      <c r="I4" s="7" t="s">
        <v>3697</v>
      </c>
      <c r="J4" s="7" t="s">
        <v>3358</v>
      </c>
      <c r="K4" s="7" t="s">
        <v>3390</v>
      </c>
      <c r="L4" s="11" t="str">
        <f>HYPERLINK("http://slimages.macys.com/is/image/MCY/12061176 ")</f>
        <v xml:space="preserve">http://slimages.macys.com/is/image/MCY/12061176 </v>
      </c>
    </row>
    <row r="5" spans="1:12" ht="39.950000000000003" customHeight="1" x14ac:dyDescent="0.25">
      <c r="A5" s="6" t="s">
        <v>3374</v>
      </c>
      <c r="B5" s="7" t="s">
        <v>3375</v>
      </c>
      <c r="C5" s="8">
        <v>1</v>
      </c>
      <c r="D5" s="9">
        <v>199.99</v>
      </c>
      <c r="E5" s="8" t="s">
        <v>3376</v>
      </c>
      <c r="F5" s="7" t="s">
        <v>3363</v>
      </c>
      <c r="G5" s="10"/>
      <c r="H5" s="7" t="s">
        <v>3377</v>
      </c>
      <c r="I5" s="7" t="s">
        <v>3378</v>
      </c>
      <c r="J5" s="7" t="s">
        <v>3379</v>
      </c>
      <c r="K5" s="7" t="s">
        <v>3380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3118</v>
      </c>
      <c r="B6" s="7" t="s">
        <v>3119</v>
      </c>
      <c r="C6" s="8">
        <v>1</v>
      </c>
      <c r="D6" s="9">
        <v>149.99</v>
      </c>
      <c r="E6" s="8" t="s">
        <v>3120</v>
      </c>
      <c r="F6" s="7" t="s">
        <v>3384</v>
      </c>
      <c r="G6" s="10"/>
      <c r="H6" s="7" t="s">
        <v>3397</v>
      </c>
      <c r="I6" s="7" t="s">
        <v>3590</v>
      </c>
      <c r="J6" s="7" t="s">
        <v>3358</v>
      </c>
      <c r="K6" s="7" t="s">
        <v>3121</v>
      </c>
      <c r="L6" s="11" t="str">
        <f>HYPERLINK("http://slimages.macys.com/is/image/MCY/9965257 ")</f>
        <v xml:space="preserve">http://slimages.macys.com/is/image/MCY/9965257 </v>
      </c>
    </row>
    <row r="7" spans="1:12" ht="39.950000000000003" customHeight="1" x14ac:dyDescent="0.25">
      <c r="A7" s="6" t="s">
        <v>3122</v>
      </c>
      <c r="B7" s="7" t="s">
        <v>3123</v>
      </c>
      <c r="C7" s="8">
        <v>1</v>
      </c>
      <c r="D7" s="9">
        <v>149.99</v>
      </c>
      <c r="E7" s="8" t="s">
        <v>3124</v>
      </c>
      <c r="F7" s="7" t="s">
        <v>3363</v>
      </c>
      <c r="G7" s="10"/>
      <c r="H7" s="7" t="s">
        <v>3377</v>
      </c>
      <c r="I7" s="7" t="s">
        <v>3378</v>
      </c>
      <c r="J7" s="7" t="s">
        <v>3379</v>
      </c>
      <c r="K7" s="7" t="s">
        <v>3380</v>
      </c>
      <c r="L7" s="11" t="str">
        <f>HYPERLINK("http://slimages.macys.com/is/image/MCY/3962569 ")</f>
        <v xml:space="preserve">http://slimages.macys.com/is/image/MCY/3962569 </v>
      </c>
    </row>
    <row r="8" spans="1:12" ht="39.950000000000003" customHeight="1" x14ac:dyDescent="0.25">
      <c r="A8" s="6" t="s">
        <v>3125</v>
      </c>
      <c r="B8" s="7" t="s">
        <v>3126</v>
      </c>
      <c r="C8" s="8">
        <v>1</v>
      </c>
      <c r="D8" s="9">
        <v>64.989999999999995</v>
      </c>
      <c r="E8" s="8" t="s">
        <v>3127</v>
      </c>
      <c r="F8" s="7"/>
      <c r="G8" s="10"/>
      <c r="H8" s="7" t="s">
        <v>3876</v>
      </c>
      <c r="I8" s="7" t="s">
        <v>3877</v>
      </c>
      <c r="J8" s="7" t="s">
        <v>3358</v>
      </c>
      <c r="K8" s="7" t="s">
        <v>3390</v>
      </c>
      <c r="L8" s="11" t="str">
        <f>HYPERLINK("http://slimages.macys.com/is/image/MCY/12831950 ")</f>
        <v xml:space="preserve">http://slimages.macys.com/is/image/MCY/12831950 </v>
      </c>
    </row>
    <row r="9" spans="1:12" ht="39.950000000000003" customHeight="1" x14ac:dyDescent="0.25">
      <c r="A9" s="6" t="s">
        <v>3128</v>
      </c>
      <c r="B9" s="7" t="s">
        <v>3129</v>
      </c>
      <c r="C9" s="8">
        <v>1</v>
      </c>
      <c r="D9" s="9">
        <v>109.99</v>
      </c>
      <c r="E9" s="8" t="s">
        <v>3130</v>
      </c>
      <c r="F9" s="7" t="s">
        <v>3363</v>
      </c>
      <c r="G9" s="10"/>
      <c r="H9" s="7" t="s">
        <v>3372</v>
      </c>
      <c r="I9" s="7" t="s">
        <v>3373</v>
      </c>
      <c r="J9" s="7"/>
      <c r="K9" s="7"/>
      <c r="L9" s="11" t="str">
        <f>HYPERLINK("http://slimages.macys.com/is/image/MCY/16944279 ")</f>
        <v xml:space="preserve">http://slimages.macys.com/is/image/MCY/16944279 </v>
      </c>
    </row>
    <row r="10" spans="1:12" ht="39.950000000000003" customHeight="1" x14ac:dyDescent="0.25">
      <c r="A10" s="6" t="s">
        <v>3131</v>
      </c>
      <c r="B10" s="7" t="s">
        <v>3132</v>
      </c>
      <c r="C10" s="8">
        <v>1</v>
      </c>
      <c r="D10" s="9">
        <v>97</v>
      </c>
      <c r="E10" s="8" t="s">
        <v>3133</v>
      </c>
      <c r="F10" s="7" t="s">
        <v>3363</v>
      </c>
      <c r="G10" s="10" t="s">
        <v>3504</v>
      </c>
      <c r="H10" s="7" t="s">
        <v>3492</v>
      </c>
      <c r="I10" s="7" t="s">
        <v>3134</v>
      </c>
      <c r="J10" s="7" t="s">
        <v>3358</v>
      </c>
      <c r="K10" s="7" t="s">
        <v>3135</v>
      </c>
      <c r="L10" s="11" t="str">
        <f>HYPERLINK("http://slimages.macys.com/is/image/MCY/10046261 ")</f>
        <v xml:space="preserve">http://slimages.macys.com/is/image/MCY/10046261 </v>
      </c>
    </row>
    <row r="11" spans="1:12" ht="39.950000000000003" customHeight="1" x14ac:dyDescent="0.25">
      <c r="A11" s="6" t="s">
        <v>3136</v>
      </c>
      <c r="B11" s="7" t="s">
        <v>3137</v>
      </c>
      <c r="C11" s="8">
        <v>1</v>
      </c>
      <c r="D11" s="9">
        <v>169.99</v>
      </c>
      <c r="E11" s="8" t="s">
        <v>3138</v>
      </c>
      <c r="F11" s="7" t="s">
        <v>3384</v>
      </c>
      <c r="G11" s="10"/>
      <c r="H11" s="7" t="s">
        <v>3658</v>
      </c>
      <c r="I11" s="7" t="s">
        <v>2657</v>
      </c>
      <c r="J11" s="7" t="s">
        <v>3358</v>
      </c>
      <c r="K11" s="7" t="s">
        <v>3139</v>
      </c>
      <c r="L11" s="11" t="str">
        <f>HYPERLINK("http://slimages.macys.com/is/image/MCY/10264821 ")</f>
        <v xml:space="preserve">http://slimages.macys.com/is/image/MCY/10264821 </v>
      </c>
    </row>
    <row r="12" spans="1:12" ht="39.950000000000003" customHeight="1" x14ac:dyDescent="0.25">
      <c r="A12" s="6" t="s">
        <v>3140</v>
      </c>
      <c r="B12" s="7" t="s">
        <v>3141</v>
      </c>
      <c r="C12" s="8">
        <v>1</v>
      </c>
      <c r="D12" s="9">
        <v>129.99</v>
      </c>
      <c r="E12" s="8" t="s">
        <v>4265</v>
      </c>
      <c r="F12" s="7" t="s">
        <v>3477</v>
      </c>
      <c r="G12" s="10"/>
      <c r="H12" s="7" t="s">
        <v>3601</v>
      </c>
      <c r="I12" s="7" t="s">
        <v>3602</v>
      </c>
      <c r="J12" s="7"/>
      <c r="K12" s="7"/>
      <c r="L12" s="11" t="str">
        <f>HYPERLINK("http://slimages.macys.com/is/image/MCY/17885596 ")</f>
        <v xml:space="preserve">http://slimages.macys.com/is/image/MCY/17885596 </v>
      </c>
    </row>
    <row r="13" spans="1:12" ht="39.950000000000003" customHeight="1" x14ac:dyDescent="0.25">
      <c r="A13" s="6" t="s">
        <v>3142</v>
      </c>
      <c r="B13" s="7" t="s">
        <v>3143</v>
      </c>
      <c r="C13" s="8">
        <v>1</v>
      </c>
      <c r="D13" s="9">
        <v>119.99</v>
      </c>
      <c r="E13" s="8" t="s">
        <v>3144</v>
      </c>
      <c r="F13" s="7" t="s">
        <v>3355</v>
      </c>
      <c r="G13" s="10"/>
      <c r="H13" s="7" t="s">
        <v>3418</v>
      </c>
      <c r="I13" s="7" t="s">
        <v>3419</v>
      </c>
      <c r="J13" s="7"/>
      <c r="K13" s="7"/>
      <c r="L13" s="11" t="str">
        <f>HYPERLINK("http://slimages.macys.com/is/image/MCY/17662684 ")</f>
        <v xml:space="preserve">http://slimages.macys.com/is/image/MCY/17662684 </v>
      </c>
    </row>
    <row r="14" spans="1:12" ht="39.950000000000003" customHeight="1" x14ac:dyDescent="0.25">
      <c r="A14" s="6" t="s">
        <v>3145</v>
      </c>
      <c r="B14" s="7" t="s">
        <v>3146</v>
      </c>
      <c r="C14" s="8">
        <v>1</v>
      </c>
      <c r="D14" s="9">
        <v>99.99</v>
      </c>
      <c r="E14" s="8" t="s">
        <v>3147</v>
      </c>
      <c r="F14" s="7" t="s">
        <v>3355</v>
      </c>
      <c r="G14" s="10"/>
      <c r="H14" s="7" t="s">
        <v>3408</v>
      </c>
      <c r="I14" s="7" t="s">
        <v>3409</v>
      </c>
      <c r="J14" s="7" t="s">
        <v>3751</v>
      </c>
      <c r="K14" s="7" t="s">
        <v>3148</v>
      </c>
      <c r="L14" s="11" t="str">
        <f>HYPERLINK("http://slimages.macys.com/is/image/MCY/9778039 ")</f>
        <v xml:space="preserve">http://slimages.macys.com/is/image/MCY/9778039 </v>
      </c>
    </row>
    <row r="15" spans="1:12" ht="39.950000000000003" customHeight="1" x14ac:dyDescent="0.25">
      <c r="A15" s="6" t="s">
        <v>3149</v>
      </c>
      <c r="B15" s="7" t="s">
        <v>3150</v>
      </c>
      <c r="C15" s="8">
        <v>1</v>
      </c>
      <c r="D15" s="9">
        <v>79.989999999999995</v>
      </c>
      <c r="E15" s="8" t="s">
        <v>3151</v>
      </c>
      <c r="F15" s="7" t="s">
        <v>3363</v>
      </c>
      <c r="G15" s="10"/>
      <c r="H15" s="7" t="s">
        <v>3408</v>
      </c>
      <c r="I15" s="7" t="s">
        <v>3409</v>
      </c>
      <c r="J15" s="7" t="s">
        <v>3751</v>
      </c>
      <c r="K15" s="7" t="s">
        <v>3521</v>
      </c>
      <c r="L15" s="11" t="str">
        <f>HYPERLINK("http://slimages.macys.com/is/image/MCY/11320819 ")</f>
        <v xml:space="preserve">http://slimages.macys.com/is/image/MCY/11320819 </v>
      </c>
    </row>
    <row r="16" spans="1:12" ht="39.950000000000003" customHeight="1" x14ac:dyDescent="0.25">
      <c r="A16" s="6" t="s">
        <v>3615</v>
      </c>
      <c r="B16" s="7" t="s">
        <v>3616</v>
      </c>
      <c r="C16" s="8">
        <v>1</v>
      </c>
      <c r="D16" s="9">
        <v>99.99</v>
      </c>
      <c r="E16" s="8">
        <v>1008894400</v>
      </c>
      <c r="F16" s="7" t="s">
        <v>3617</v>
      </c>
      <c r="G16" s="10"/>
      <c r="H16" s="7" t="s">
        <v>3482</v>
      </c>
      <c r="I16" s="7" t="s">
        <v>3618</v>
      </c>
      <c r="J16" s="7" t="s">
        <v>3358</v>
      </c>
      <c r="K16" s="7" t="s">
        <v>3619</v>
      </c>
      <c r="L16" s="11" t="str">
        <f>HYPERLINK("http://slimages.macys.com/is/image/MCY/3776637 ")</f>
        <v xml:space="preserve">http://slimages.macys.com/is/image/MCY/3776637 </v>
      </c>
    </row>
    <row r="17" spans="1:12" ht="39.950000000000003" customHeight="1" x14ac:dyDescent="0.25">
      <c r="A17" s="6" t="s">
        <v>3152</v>
      </c>
      <c r="B17" s="7" t="s">
        <v>3153</v>
      </c>
      <c r="C17" s="8">
        <v>1</v>
      </c>
      <c r="D17" s="9">
        <v>99.99</v>
      </c>
      <c r="E17" s="8" t="s">
        <v>3154</v>
      </c>
      <c r="F17" s="7" t="s">
        <v>3617</v>
      </c>
      <c r="G17" s="10"/>
      <c r="H17" s="7" t="s">
        <v>3658</v>
      </c>
      <c r="I17" s="7" t="s">
        <v>2690</v>
      </c>
      <c r="J17" s="7" t="s">
        <v>3358</v>
      </c>
      <c r="K17" s="7" t="s">
        <v>3702</v>
      </c>
      <c r="L17" s="11" t="str">
        <f>HYPERLINK("http://slimages.macys.com/is/image/MCY/3467222 ")</f>
        <v xml:space="preserve">http://slimages.macys.com/is/image/MCY/3467222 </v>
      </c>
    </row>
    <row r="18" spans="1:12" ht="39.950000000000003" customHeight="1" x14ac:dyDescent="0.25">
      <c r="A18" s="6" t="s">
        <v>3155</v>
      </c>
      <c r="B18" s="7" t="s">
        <v>3156</v>
      </c>
      <c r="C18" s="8">
        <v>1</v>
      </c>
      <c r="D18" s="9">
        <v>99.99</v>
      </c>
      <c r="E18" s="8" t="s">
        <v>3157</v>
      </c>
      <c r="F18" s="7" t="s">
        <v>3355</v>
      </c>
      <c r="G18" s="10"/>
      <c r="H18" s="7" t="s">
        <v>3418</v>
      </c>
      <c r="I18" s="7" t="s">
        <v>3419</v>
      </c>
      <c r="J18" s="7"/>
      <c r="K18" s="7"/>
      <c r="L18" s="11" t="str">
        <f>HYPERLINK("http://slimages.macys.com/is/image/MCY/17662624 ")</f>
        <v xml:space="preserve">http://slimages.macys.com/is/image/MCY/17662624 </v>
      </c>
    </row>
    <row r="19" spans="1:12" ht="39.950000000000003" customHeight="1" x14ac:dyDescent="0.25">
      <c r="A19" s="6" t="s">
        <v>3158</v>
      </c>
      <c r="B19" s="7" t="s">
        <v>3159</v>
      </c>
      <c r="C19" s="8">
        <v>1</v>
      </c>
      <c r="D19" s="9">
        <v>99.99</v>
      </c>
      <c r="E19" s="8" t="s">
        <v>3160</v>
      </c>
      <c r="F19" s="7" t="s">
        <v>3481</v>
      </c>
      <c r="G19" s="10"/>
      <c r="H19" s="7" t="s">
        <v>3601</v>
      </c>
      <c r="I19" s="7" t="s">
        <v>3602</v>
      </c>
      <c r="J19" s="7" t="s">
        <v>3358</v>
      </c>
      <c r="K19" s="7" t="s">
        <v>3521</v>
      </c>
      <c r="L19" s="11" t="str">
        <f>HYPERLINK("http://slimages.macys.com/is/image/MCY/8394483 ")</f>
        <v xml:space="preserve">http://slimages.macys.com/is/image/MCY/8394483 </v>
      </c>
    </row>
    <row r="20" spans="1:12" ht="39.950000000000003" customHeight="1" x14ac:dyDescent="0.25">
      <c r="A20" s="6" t="s">
        <v>3161</v>
      </c>
      <c r="B20" s="7" t="s">
        <v>3162</v>
      </c>
      <c r="C20" s="8">
        <v>1</v>
      </c>
      <c r="D20" s="9">
        <v>119.99</v>
      </c>
      <c r="E20" s="8" t="s">
        <v>3163</v>
      </c>
      <c r="F20" s="7" t="s">
        <v>3477</v>
      </c>
      <c r="G20" s="10"/>
      <c r="H20" s="7" t="s">
        <v>3658</v>
      </c>
      <c r="I20" s="7" t="s">
        <v>2690</v>
      </c>
      <c r="J20" s="7"/>
      <c r="K20" s="7"/>
      <c r="L20" s="11" t="str">
        <f>HYPERLINK("http://slimages.macys.com/is/image/MCY/957575 ")</f>
        <v xml:space="preserve">http://slimages.macys.com/is/image/MCY/957575 </v>
      </c>
    </row>
    <row r="21" spans="1:12" ht="39.950000000000003" customHeight="1" x14ac:dyDescent="0.25">
      <c r="A21" s="6" t="s">
        <v>3164</v>
      </c>
      <c r="B21" s="7" t="s">
        <v>3165</v>
      </c>
      <c r="C21" s="8">
        <v>1</v>
      </c>
      <c r="D21" s="9">
        <v>69.989999999999995</v>
      </c>
      <c r="E21" s="8" t="s">
        <v>3166</v>
      </c>
      <c r="F21" s="7" t="s">
        <v>3363</v>
      </c>
      <c r="G21" s="10" t="s">
        <v>3690</v>
      </c>
      <c r="H21" s="7" t="s">
        <v>3526</v>
      </c>
      <c r="I21" s="7" t="s">
        <v>4010</v>
      </c>
      <c r="J21" s="7" t="s">
        <v>3358</v>
      </c>
      <c r="K21" s="7" t="s">
        <v>4011</v>
      </c>
      <c r="L21" s="11" t="str">
        <f>HYPERLINK("http://slimages.macys.com/is/image/MCY/10721437 ")</f>
        <v xml:space="preserve">http://slimages.macys.com/is/image/MCY/10721437 </v>
      </c>
    </row>
    <row r="22" spans="1:12" ht="39.950000000000003" customHeight="1" x14ac:dyDescent="0.25">
      <c r="A22" s="6" t="s">
        <v>3006</v>
      </c>
      <c r="B22" s="7" t="s">
        <v>3007</v>
      </c>
      <c r="C22" s="8">
        <v>2</v>
      </c>
      <c r="D22" s="9">
        <v>169.98</v>
      </c>
      <c r="E22" s="8" t="s">
        <v>3008</v>
      </c>
      <c r="F22" s="7" t="s">
        <v>3363</v>
      </c>
      <c r="G22" s="10" t="s">
        <v>3645</v>
      </c>
      <c r="H22" s="7" t="s">
        <v>3471</v>
      </c>
      <c r="I22" s="7" t="s">
        <v>3378</v>
      </c>
      <c r="J22" s="7" t="s">
        <v>3379</v>
      </c>
      <c r="K22" s="7" t="s">
        <v>3009</v>
      </c>
      <c r="L22" s="11" t="str">
        <f>HYPERLINK("http://slimages.macys.com/is/image/MCY/8589816 ")</f>
        <v xml:space="preserve">http://slimages.macys.com/is/image/MCY/8589816 </v>
      </c>
    </row>
    <row r="23" spans="1:12" ht="39.950000000000003" customHeight="1" x14ac:dyDescent="0.25">
      <c r="A23" s="6" t="s">
        <v>3167</v>
      </c>
      <c r="B23" s="7" t="s">
        <v>3168</v>
      </c>
      <c r="C23" s="8">
        <v>1</v>
      </c>
      <c r="D23" s="9">
        <v>79.989999999999995</v>
      </c>
      <c r="E23" s="8">
        <v>100061642</v>
      </c>
      <c r="F23" s="7" t="s">
        <v>3407</v>
      </c>
      <c r="G23" s="10" t="s">
        <v>3453</v>
      </c>
      <c r="H23" s="7" t="s">
        <v>3454</v>
      </c>
      <c r="I23" s="7" t="s">
        <v>3915</v>
      </c>
      <c r="J23" s="7" t="s">
        <v>3358</v>
      </c>
      <c r="K23" s="7" t="s">
        <v>3169</v>
      </c>
      <c r="L23" s="11" t="str">
        <f>HYPERLINK("http://slimages.macys.com/is/image/MCY/14337722 ")</f>
        <v xml:space="preserve">http://slimages.macys.com/is/image/MCY/14337722 </v>
      </c>
    </row>
    <row r="24" spans="1:12" ht="39.950000000000003" customHeight="1" x14ac:dyDescent="0.25">
      <c r="A24" s="6" t="s">
        <v>4060</v>
      </c>
      <c r="B24" s="7" t="s">
        <v>4061</v>
      </c>
      <c r="C24" s="8">
        <v>1</v>
      </c>
      <c r="D24" s="9">
        <v>79.989999999999995</v>
      </c>
      <c r="E24" s="8">
        <v>70082</v>
      </c>
      <c r="F24" s="7" t="s">
        <v>3363</v>
      </c>
      <c r="G24" s="10" t="s">
        <v>3645</v>
      </c>
      <c r="H24" s="7" t="s">
        <v>3388</v>
      </c>
      <c r="I24" s="7" t="s">
        <v>3389</v>
      </c>
      <c r="J24" s="7" t="s">
        <v>3358</v>
      </c>
      <c r="K24" s="7" t="s">
        <v>4062</v>
      </c>
      <c r="L24" s="11" t="str">
        <f>HYPERLINK("http://slimages.macys.com/is/image/MCY/11443716 ")</f>
        <v xml:space="preserve">http://slimages.macys.com/is/image/MCY/11443716 </v>
      </c>
    </row>
    <row r="25" spans="1:12" ht="39.950000000000003" customHeight="1" x14ac:dyDescent="0.25">
      <c r="A25" s="6" t="s">
        <v>3170</v>
      </c>
      <c r="B25" s="7" t="s">
        <v>3171</v>
      </c>
      <c r="C25" s="8">
        <v>2</v>
      </c>
      <c r="D25" s="9">
        <v>169.98</v>
      </c>
      <c r="E25" s="8" t="s">
        <v>3172</v>
      </c>
      <c r="F25" s="7" t="s">
        <v>3632</v>
      </c>
      <c r="G25" s="10" t="s">
        <v>3645</v>
      </c>
      <c r="H25" s="7" t="s">
        <v>3388</v>
      </c>
      <c r="I25" s="7" t="s">
        <v>3423</v>
      </c>
      <c r="J25" s="7"/>
      <c r="K25" s="7"/>
      <c r="L25" s="11" t="str">
        <f>HYPERLINK("http://slimages.macys.com/is/image/MCY/16911865 ")</f>
        <v xml:space="preserve">http://slimages.macys.com/is/image/MCY/16911865 </v>
      </c>
    </row>
    <row r="26" spans="1:12" ht="39.950000000000003" customHeight="1" x14ac:dyDescent="0.25">
      <c r="A26" s="6" t="s">
        <v>3173</v>
      </c>
      <c r="B26" s="7" t="s">
        <v>3174</v>
      </c>
      <c r="C26" s="8">
        <v>1</v>
      </c>
      <c r="D26" s="9">
        <v>59.99</v>
      </c>
      <c r="E26" s="8" t="s">
        <v>3175</v>
      </c>
      <c r="F26" s="7" t="s">
        <v>3673</v>
      </c>
      <c r="G26" s="10"/>
      <c r="H26" s="7" t="s">
        <v>3526</v>
      </c>
      <c r="I26" s="7" t="s">
        <v>3865</v>
      </c>
      <c r="J26" s="7"/>
      <c r="K26" s="7"/>
      <c r="L26" s="11" t="str">
        <f>HYPERLINK("http://slimages.macys.com/is/image/MCY/18064918 ")</f>
        <v xml:space="preserve">http://slimages.macys.com/is/image/MCY/18064918 </v>
      </c>
    </row>
    <row r="27" spans="1:12" ht="39.950000000000003" customHeight="1" x14ac:dyDescent="0.25">
      <c r="A27" s="6" t="s">
        <v>3176</v>
      </c>
      <c r="B27" s="7" t="s">
        <v>3177</v>
      </c>
      <c r="C27" s="8">
        <v>1</v>
      </c>
      <c r="D27" s="9">
        <v>79.989999999999995</v>
      </c>
      <c r="E27" s="8" t="s">
        <v>3178</v>
      </c>
      <c r="F27" s="7" t="s">
        <v>3363</v>
      </c>
      <c r="G27" s="10"/>
      <c r="H27" s="7" t="s">
        <v>3601</v>
      </c>
      <c r="I27" s="7" t="s">
        <v>2657</v>
      </c>
      <c r="J27" s="7" t="s">
        <v>3358</v>
      </c>
      <c r="K27" s="7" t="s">
        <v>3179</v>
      </c>
      <c r="L27" s="11" t="str">
        <f>HYPERLINK("http://slimages.macys.com/is/image/MCY/16380271 ")</f>
        <v xml:space="preserve">http://slimages.macys.com/is/image/MCY/16380271 </v>
      </c>
    </row>
    <row r="28" spans="1:12" ht="39.950000000000003" customHeight="1" x14ac:dyDescent="0.25">
      <c r="A28" s="6" t="s">
        <v>3180</v>
      </c>
      <c r="B28" s="7" t="s">
        <v>3181</v>
      </c>
      <c r="C28" s="8">
        <v>1</v>
      </c>
      <c r="D28" s="9">
        <v>119.99</v>
      </c>
      <c r="E28" s="8" t="s">
        <v>3182</v>
      </c>
      <c r="F28" s="7" t="s">
        <v>3735</v>
      </c>
      <c r="G28" s="10"/>
      <c r="H28" s="7" t="s">
        <v>3658</v>
      </c>
      <c r="I28" s="7" t="s">
        <v>3659</v>
      </c>
      <c r="J28" s="7" t="s">
        <v>3358</v>
      </c>
      <c r="K28" s="7" t="s">
        <v>3582</v>
      </c>
      <c r="L28" s="11" t="str">
        <f>HYPERLINK("http://slimages.macys.com/is/image/MCY/14426327 ")</f>
        <v xml:space="preserve">http://slimages.macys.com/is/image/MCY/14426327 </v>
      </c>
    </row>
    <row r="29" spans="1:12" ht="39.950000000000003" customHeight="1" x14ac:dyDescent="0.25">
      <c r="A29" s="6" t="s">
        <v>3183</v>
      </c>
      <c r="B29" s="7" t="s">
        <v>3184</v>
      </c>
      <c r="C29" s="8">
        <v>1</v>
      </c>
      <c r="D29" s="9">
        <v>47.99</v>
      </c>
      <c r="E29" s="8" t="s">
        <v>3185</v>
      </c>
      <c r="F29" s="7" t="s">
        <v>4021</v>
      </c>
      <c r="G29" s="10"/>
      <c r="H29" s="7" t="s">
        <v>3526</v>
      </c>
      <c r="I29" s="7" t="s">
        <v>3186</v>
      </c>
      <c r="J29" s="7" t="s">
        <v>3358</v>
      </c>
      <c r="K29" s="7" t="s">
        <v>3187</v>
      </c>
      <c r="L29" s="11" t="str">
        <f>HYPERLINK("http://slimages.macys.com/is/image/MCY/16450054 ")</f>
        <v xml:space="preserve">http://slimages.macys.com/is/image/MCY/16450054 </v>
      </c>
    </row>
    <row r="30" spans="1:12" ht="39.950000000000003" customHeight="1" x14ac:dyDescent="0.25">
      <c r="A30" s="6" t="s">
        <v>3188</v>
      </c>
      <c r="B30" s="7" t="s">
        <v>3189</v>
      </c>
      <c r="C30" s="8">
        <v>1</v>
      </c>
      <c r="D30" s="9">
        <v>49.99</v>
      </c>
      <c r="E30" s="8" t="s">
        <v>3190</v>
      </c>
      <c r="F30" s="7" t="s">
        <v>3363</v>
      </c>
      <c r="G30" s="10" t="s">
        <v>3191</v>
      </c>
      <c r="H30" s="7" t="s">
        <v>3372</v>
      </c>
      <c r="I30" s="7" t="s">
        <v>3565</v>
      </c>
      <c r="J30" s="7" t="s">
        <v>3358</v>
      </c>
      <c r="K30" s="7" t="s">
        <v>3484</v>
      </c>
      <c r="L30" s="11" t="str">
        <f>HYPERLINK("http://slimages.macys.com/is/image/MCY/8441769 ")</f>
        <v xml:space="preserve">http://slimages.macys.com/is/image/MCY/8441769 </v>
      </c>
    </row>
    <row r="31" spans="1:12" ht="39.950000000000003" customHeight="1" x14ac:dyDescent="0.25">
      <c r="A31" s="6" t="s">
        <v>3041</v>
      </c>
      <c r="B31" s="7" t="s">
        <v>3042</v>
      </c>
      <c r="C31" s="8">
        <v>1</v>
      </c>
      <c r="D31" s="9">
        <v>79.989999999999995</v>
      </c>
      <c r="E31" s="8">
        <v>10006939000</v>
      </c>
      <c r="F31" s="7" t="s">
        <v>3600</v>
      </c>
      <c r="G31" s="10"/>
      <c r="H31" s="7" t="s">
        <v>3658</v>
      </c>
      <c r="I31" s="7" t="s">
        <v>3905</v>
      </c>
      <c r="J31" s="7" t="s">
        <v>3358</v>
      </c>
      <c r="K31" s="7"/>
      <c r="L31" s="11" t="str">
        <f>HYPERLINK("http://slimages.macys.com/is/image/MCY/14725487 ")</f>
        <v xml:space="preserve">http://slimages.macys.com/is/image/MCY/14725487 </v>
      </c>
    </row>
    <row r="32" spans="1:12" ht="39.950000000000003" customHeight="1" x14ac:dyDescent="0.25">
      <c r="A32" s="6" t="s">
        <v>3192</v>
      </c>
      <c r="B32" s="7" t="s">
        <v>3193</v>
      </c>
      <c r="C32" s="8">
        <v>1</v>
      </c>
      <c r="D32" s="9">
        <v>130</v>
      </c>
      <c r="E32" s="8" t="s">
        <v>3194</v>
      </c>
      <c r="F32" s="7" t="s">
        <v>4219</v>
      </c>
      <c r="G32" s="10" t="s">
        <v>3947</v>
      </c>
      <c r="H32" s="7" t="s">
        <v>3418</v>
      </c>
      <c r="I32" s="7" t="s">
        <v>3195</v>
      </c>
      <c r="J32" s="7" t="s">
        <v>3813</v>
      </c>
      <c r="K32" s="7" t="s">
        <v>3196</v>
      </c>
      <c r="L32" s="11" t="str">
        <f>HYPERLINK("http://images.bloomingdales.com/is/image/BLM/10474956 ")</f>
        <v xml:space="preserve">http://images.bloomingdales.com/is/image/BLM/10474956 </v>
      </c>
    </row>
    <row r="33" spans="1:12" ht="39.950000000000003" customHeight="1" x14ac:dyDescent="0.25">
      <c r="A33" s="6" t="s">
        <v>3197</v>
      </c>
      <c r="B33" s="7" t="s">
        <v>3198</v>
      </c>
      <c r="C33" s="8">
        <v>1</v>
      </c>
      <c r="D33" s="9">
        <v>45.99</v>
      </c>
      <c r="E33" s="8" t="s">
        <v>3199</v>
      </c>
      <c r="F33" s="7" t="s">
        <v>3363</v>
      </c>
      <c r="G33" s="10"/>
      <c r="H33" s="7" t="s">
        <v>3526</v>
      </c>
      <c r="I33" s="7" t="s">
        <v>4010</v>
      </c>
      <c r="J33" s="7" t="s">
        <v>3358</v>
      </c>
      <c r="K33" s="7" t="s">
        <v>4011</v>
      </c>
      <c r="L33" s="11" t="str">
        <f>HYPERLINK("http://slimages.macys.com/is/image/MCY/10682482 ")</f>
        <v xml:space="preserve">http://slimages.macys.com/is/image/MCY/10682482 </v>
      </c>
    </row>
    <row r="34" spans="1:12" ht="39.950000000000003" customHeight="1" x14ac:dyDescent="0.25">
      <c r="A34" s="6" t="s">
        <v>3200</v>
      </c>
      <c r="B34" s="7" t="s">
        <v>3201</v>
      </c>
      <c r="C34" s="8">
        <v>1</v>
      </c>
      <c r="D34" s="9">
        <v>49.99</v>
      </c>
      <c r="E34" s="8" t="s">
        <v>3202</v>
      </c>
      <c r="F34" s="7"/>
      <c r="G34" s="10"/>
      <c r="H34" s="7" t="s">
        <v>3412</v>
      </c>
      <c r="I34" s="7" t="s">
        <v>3510</v>
      </c>
      <c r="J34" s="7"/>
      <c r="K34" s="7"/>
      <c r="L34" s="11" t="str">
        <f>HYPERLINK("http://slimages.macys.com/is/image/MCY/17258396 ")</f>
        <v xml:space="preserve">http://slimages.macys.com/is/image/MCY/17258396 </v>
      </c>
    </row>
    <row r="35" spans="1:12" ht="39.950000000000003" customHeight="1" x14ac:dyDescent="0.25">
      <c r="A35" s="6" t="s">
        <v>3203</v>
      </c>
      <c r="B35" s="7" t="s">
        <v>3204</v>
      </c>
      <c r="C35" s="8">
        <v>1</v>
      </c>
      <c r="D35" s="9">
        <v>49.99</v>
      </c>
      <c r="E35" s="8" t="s">
        <v>3205</v>
      </c>
      <c r="F35" s="7"/>
      <c r="G35" s="10"/>
      <c r="H35" s="7" t="s">
        <v>3412</v>
      </c>
      <c r="I35" s="7" t="s">
        <v>3510</v>
      </c>
      <c r="J35" s="7"/>
      <c r="K35" s="7"/>
      <c r="L35" s="11" t="str">
        <f>HYPERLINK("http://slimages.macys.com/is/image/MCY/16826931 ")</f>
        <v xml:space="preserve">http://slimages.macys.com/is/image/MCY/16826931 </v>
      </c>
    </row>
    <row r="36" spans="1:12" ht="39.950000000000003" customHeight="1" x14ac:dyDescent="0.25">
      <c r="A36" s="6" t="s">
        <v>3206</v>
      </c>
      <c r="B36" s="7" t="s">
        <v>3207</v>
      </c>
      <c r="C36" s="8">
        <v>1</v>
      </c>
      <c r="D36" s="9">
        <v>34.99</v>
      </c>
      <c r="E36" s="8" t="s">
        <v>3208</v>
      </c>
      <c r="F36" s="7" t="s">
        <v>3899</v>
      </c>
      <c r="G36" s="10"/>
      <c r="H36" s="7" t="s">
        <v>3526</v>
      </c>
      <c r="I36" s="7" t="s">
        <v>3900</v>
      </c>
      <c r="J36" s="7" t="s">
        <v>3358</v>
      </c>
      <c r="K36" s="7" t="s">
        <v>3901</v>
      </c>
      <c r="L36" s="11" t="str">
        <f>HYPERLINK("http://slimages.macys.com/is/image/MCY/13793207 ")</f>
        <v xml:space="preserve">http://slimages.macys.com/is/image/MCY/13793207 </v>
      </c>
    </row>
    <row r="37" spans="1:12" ht="39.950000000000003" customHeight="1" x14ac:dyDescent="0.25">
      <c r="A37" s="6" t="s">
        <v>3209</v>
      </c>
      <c r="B37" s="7" t="s">
        <v>3210</v>
      </c>
      <c r="C37" s="8">
        <v>1</v>
      </c>
      <c r="D37" s="9">
        <v>59.99</v>
      </c>
      <c r="E37" s="8" t="s">
        <v>3211</v>
      </c>
      <c r="F37" s="7" t="s">
        <v>3498</v>
      </c>
      <c r="G37" s="10"/>
      <c r="H37" s="7" t="s">
        <v>3418</v>
      </c>
      <c r="I37" s="7" t="s">
        <v>4224</v>
      </c>
      <c r="J37" s="7" t="s">
        <v>3358</v>
      </c>
      <c r="K37" s="7" t="s">
        <v>3521</v>
      </c>
      <c r="L37" s="11" t="str">
        <f>HYPERLINK("http://slimages.macys.com/is/image/MCY/17667941 ")</f>
        <v xml:space="preserve">http://slimages.macys.com/is/image/MCY/17667941 </v>
      </c>
    </row>
    <row r="38" spans="1:12" ht="39.950000000000003" customHeight="1" x14ac:dyDescent="0.25">
      <c r="A38" s="6" t="s">
        <v>3212</v>
      </c>
      <c r="B38" s="7" t="s">
        <v>3213</v>
      </c>
      <c r="C38" s="8">
        <v>1</v>
      </c>
      <c r="D38" s="9">
        <v>78.11</v>
      </c>
      <c r="E38" s="8" t="s">
        <v>3214</v>
      </c>
      <c r="F38" s="7"/>
      <c r="G38" s="10"/>
      <c r="H38" s="7" t="s">
        <v>3492</v>
      </c>
      <c r="I38" s="7" t="s">
        <v>3841</v>
      </c>
      <c r="J38" s="7" t="s">
        <v>3358</v>
      </c>
      <c r="K38" s="7" t="s">
        <v>3484</v>
      </c>
      <c r="L38" s="11" t="str">
        <f>HYPERLINK("http://slimages.macys.com/is/image/MCY/11704581 ")</f>
        <v xml:space="preserve">http://slimages.macys.com/is/image/MCY/11704581 </v>
      </c>
    </row>
    <row r="39" spans="1:12" ht="39.950000000000003" customHeight="1" x14ac:dyDescent="0.25">
      <c r="A39" s="6" t="s">
        <v>3215</v>
      </c>
      <c r="B39" s="7" t="s">
        <v>3216</v>
      </c>
      <c r="C39" s="8">
        <v>1</v>
      </c>
      <c r="D39" s="9">
        <v>39.99</v>
      </c>
      <c r="E39" s="8">
        <v>602545144524</v>
      </c>
      <c r="F39" s="7" t="s">
        <v>3371</v>
      </c>
      <c r="G39" s="10" t="s">
        <v>3504</v>
      </c>
      <c r="H39" s="7" t="s">
        <v>3515</v>
      </c>
      <c r="I39" s="7" t="s">
        <v>3217</v>
      </c>
      <c r="J39" s="7" t="s">
        <v>3358</v>
      </c>
      <c r="K39" s="7" t="s">
        <v>3484</v>
      </c>
      <c r="L39" s="11" t="str">
        <f>HYPERLINK("http://slimages.macys.com/is/image/MCY/12438923 ")</f>
        <v xml:space="preserve">http://slimages.macys.com/is/image/MCY/12438923 </v>
      </c>
    </row>
    <row r="40" spans="1:12" ht="39.950000000000003" customHeight="1" x14ac:dyDescent="0.25">
      <c r="A40" s="6" t="s">
        <v>3218</v>
      </c>
      <c r="B40" s="7" t="s">
        <v>3219</v>
      </c>
      <c r="C40" s="8">
        <v>1</v>
      </c>
      <c r="D40" s="9">
        <v>59.99</v>
      </c>
      <c r="E40" s="8">
        <v>10004897500</v>
      </c>
      <c r="F40" s="7" t="s">
        <v>3650</v>
      </c>
      <c r="G40" s="10"/>
      <c r="H40" s="7" t="s">
        <v>3658</v>
      </c>
      <c r="I40" s="7" t="s">
        <v>3905</v>
      </c>
      <c r="J40" s="7" t="s">
        <v>3358</v>
      </c>
      <c r="K40" s="7"/>
      <c r="L40" s="11" t="str">
        <f>HYPERLINK("http://slimages.macys.com/is/image/MCY/14823286 ")</f>
        <v xml:space="preserve">http://slimages.macys.com/is/image/MCY/14823286 </v>
      </c>
    </row>
    <row r="41" spans="1:12" ht="39.950000000000003" customHeight="1" x14ac:dyDescent="0.25">
      <c r="A41" s="6" t="s">
        <v>3220</v>
      </c>
      <c r="B41" s="7" t="s">
        <v>3221</v>
      </c>
      <c r="C41" s="8">
        <v>1</v>
      </c>
      <c r="D41" s="9">
        <v>39.99</v>
      </c>
      <c r="E41" s="8" t="s">
        <v>3222</v>
      </c>
      <c r="F41" s="7" t="s">
        <v>3363</v>
      </c>
      <c r="G41" s="10" t="s">
        <v>3460</v>
      </c>
      <c r="H41" s="7" t="s">
        <v>3388</v>
      </c>
      <c r="I41" s="7" t="s">
        <v>3461</v>
      </c>
      <c r="J41" s="7"/>
      <c r="K41" s="7"/>
      <c r="L41" s="11" t="str">
        <f>HYPERLINK("http://slimages.macys.com/is/image/MCY/17546507 ")</f>
        <v xml:space="preserve">http://slimages.macys.com/is/image/MCY/17546507 </v>
      </c>
    </row>
    <row r="42" spans="1:12" ht="39.950000000000003" customHeight="1" x14ac:dyDescent="0.25">
      <c r="A42" s="6" t="s">
        <v>3223</v>
      </c>
      <c r="B42" s="7" t="s">
        <v>3224</v>
      </c>
      <c r="C42" s="8">
        <v>1</v>
      </c>
      <c r="D42" s="9">
        <v>39.99</v>
      </c>
      <c r="E42" s="8">
        <v>130309</v>
      </c>
      <c r="F42" s="7" t="s">
        <v>3363</v>
      </c>
      <c r="G42" s="10" t="s">
        <v>3364</v>
      </c>
      <c r="H42" s="7" t="s">
        <v>3422</v>
      </c>
      <c r="I42" s="7" t="s">
        <v>3423</v>
      </c>
      <c r="J42" s="7" t="s">
        <v>3358</v>
      </c>
      <c r="K42" s="7" t="s">
        <v>4134</v>
      </c>
      <c r="L42" s="11" t="str">
        <f>HYPERLINK("http://slimages.macys.com/is/image/MCY/3895749 ")</f>
        <v xml:space="preserve">http://slimages.macys.com/is/image/MCY/3895749 </v>
      </c>
    </row>
    <row r="43" spans="1:12" ht="39.950000000000003" customHeight="1" x14ac:dyDescent="0.25">
      <c r="A43" s="6" t="s">
        <v>2531</v>
      </c>
      <c r="B43" s="7" t="s">
        <v>2532</v>
      </c>
      <c r="C43" s="8">
        <v>1</v>
      </c>
      <c r="D43" s="9">
        <v>54.99</v>
      </c>
      <c r="E43" s="8">
        <v>130418</v>
      </c>
      <c r="F43" s="7" t="s">
        <v>3650</v>
      </c>
      <c r="G43" s="10" t="s">
        <v>3364</v>
      </c>
      <c r="H43" s="7" t="s">
        <v>3422</v>
      </c>
      <c r="I43" s="7" t="s">
        <v>3423</v>
      </c>
      <c r="J43" s="7" t="s">
        <v>3358</v>
      </c>
      <c r="K43" s="7" t="s">
        <v>3390</v>
      </c>
      <c r="L43" s="11" t="str">
        <f>HYPERLINK("http://slimages.macys.com/is/image/MCY/15716697 ")</f>
        <v xml:space="preserve">http://slimages.macys.com/is/image/MCY/15716697 </v>
      </c>
    </row>
    <row r="44" spans="1:12" ht="39.950000000000003" customHeight="1" x14ac:dyDescent="0.25">
      <c r="A44" s="6" t="s">
        <v>3225</v>
      </c>
      <c r="B44" s="7" t="s">
        <v>3226</v>
      </c>
      <c r="C44" s="8">
        <v>1</v>
      </c>
      <c r="D44" s="9">
        <v>39.99</v>
      </c>
      <c r="E44" s="8" t="s">
        <v>3227</v>
      </c>
      <c r="F44" s="7" t="s">
        <v>3673</v>
      </c>
      <c r="G44" s="10" t="s">
        <v>3028</v>
      </c>
      <c r="H44" s="7" t="s">
        <v>3431</v>
      </c>
      <c r="I44" s="7" t="s">
        <v>3432</v>
      </c>
      <c r="J44" s="7" t="s">
        <v>3358</v>
      </c>
      <c r="K44" s="7" t="s">
        <v>3521</v>
      </c>
      <c r="L44" s="11" t="str">
        <f>HYPERLINK("http://slimages.macys.com/is/image/MCY/9513121 ")</f>
        <v xml:space="preserve">http://slimages.macys.com/is/image/MCY/9513121 </v>
      </c>
    </row>
    <row r="45" spans="1:12" ht="39.950000000000003" customHeight="1" x14ac:dyDescent="0.25">
      <c r="A45" s="6" t="s">
        <v>3228</v>
      </c>
      <c r="B45" s="7" t="s">
        <v>3229</v>
      </c>
      <c r="C45" s="8">
        <v>1</v>
      </c>
      <c r="D45" s="9">
        <v>29.99</v>
      </c>
      <c r="E45" s="8" t="s">
        <v>3230</v>
      </c>
      <c r="F45" s="7" t="s">
        <v>3384</v>
      </c>
      <c r="G45" s="10" t="s">
        <v>3504</v>
      </c>
      <c r="H45" s="7" t="s">
        <v>3356</v>
      </c>
      <c r="I45" s="7" t="s">
        <v>3231</v>
      </c>
      <c r="J45" s="7" t="s">
        <v>3358</v>
      </c>
      <c r="K45" s="7" t="s">
        <v>3232</v>
      </c>
      <c r="L45" s="11" t="str">
        <f>HYPERLINK("http://slimages.macys.com/is/image/MCY/15174485 ")</f>
        <v xml:space="preserve">http://slimages.macys.com/is/image/MCY/15174485 </v>
      </c>
    </row>
    <row r="46" spans="1:12" ht="39.950000000000003" customHeight="1" x14ac:dyDescent="0.25">
      <c r="A46" s="6" t="s">
        <v>3233</v>
      </c>
      <c r="B46" s="7" t="s">
        <v>3234</v>
      </c>
      <c r="C46" s="8">
        <v>1</v>
      </c>
      <c r="D46" s="9">
        <v>29.99</v>
      </c>
      <c r="E46" s="8" t="s">
        <v>3235</v>
      </c>
      <c r="F46" s="7" t="s">
        <v>3363</v>
      </c>
      <c r="G46" s="10" t="s">
        <v>3532</v>
      </c>
      <c r="H46" s="7" t="s">
        <v>3482</v>
      </c>
      <c r="I46" s="7" t="s">
        <v>3618</v>
      </c>
      <c r="J46" s="7" t="s">
        <v>3358</v>
      </c>
      <c r="K46" s="7" t="s">
        <v>3521</v>
      </c>
      <c r="L46" s="11" t="str">
        <f>HYPERLINK("http://slimages.macys.com/is/image/MCY/13285480 ")</f>
        <v xml:space="preserve">http://slimages.macys.com/is/image/MCY/13285480 </v>
      </c>
    </row>
    <row r="47" spans="1:12" ht="39.950000000000003" customHeight="1" x14ac:dyDescent="0.25">
      <c r="A47" s="6" t="s">
        <v>3236</v>
      </c>
      <c r="B47" s="7" t="s">
        <v>3237</v>
      </c>
      <c r="C47" s="8">
        <v>2</v>
      </c>
      <c r="D47" s="9">
        <v>59.98</v>
      </c>
      <c r="E47" s="8" t="s">
        <v>3238</v>
      </c>
      <c r="F47" s="7" t="s">
        <v>3355</v>
      </c>
      <c r="G47" s="10" t="s">
        <v>3532</v>
      </c>
      <c r="H47" s="7" t="s">
        <v>3482</v>
      </c>
      <c r="I47" s="7" t="s">
        <v>3618</v>
      </c>
      <c r="J47" s="7" t="s">
        <v>3358</v>
      </c>
      <c r="K47" s="7" t="s">
        <v>3521</v>
      </c>
      <c r="L47" s="11" t="str">
        <f>HYPERLINK("http://slimages.macys.com/is/image/MCY/13285480 ")</f>
        <v xml:space="preserve">http://slimages.macys.com/is/image/MCY/13285480 </v>
      </c>
    </row>
    <row r="48" spans="1:12" ht="39.950000000000003" customHeight="1" x14ac:dyDescent="0.25">
      <c r="A48" s="6" t="s">
        <v>4154</v>
      </c>
      <c r="B48" s="7" t="s">
        <v>4155</v>
      </c>
      <c r="C48" s="8">
        <v>1</v>
      </c>
      <c r="D48" s="9">
        <v>23.99</v>
      </c>
      <c r="E48" s="8" t="s">
        <v>4156</v>
      </c>
      <c r="F48" s="7" t="s">
        <v>3542</v>
      </c>
      <c r="G48" s="10" t="s">
        <v>3690</v>
      </c>
      <c r="H48" s="7" t="s">
        <v>3471</v>
      </c>
      <c r="I48" s="7" t="s">
        <v>3761</v>
      </c>
      <c r="J48" s="7" t="s">
        <v>3751</v>
      </c>
      <c r="K48" s="7"/>
      <c r="L48" s="11" t="str">
        <f>HYPERLINK("http://slimages.macys.com/is/image/MCY/9526176 ")</f>
        <v xml:space="preserve">http://slimages.macys.com/is/image/MCY/9526176 </v>
      </c>
    </row>
    <row r="49" spans="1:12" ht="39.950000000000003" customHeight="1" x14ac:dyDescent="0.25">
      <c r="A49" s="6" t="s">
        <v>3239</v>
      </c>
      <c r="B49" s="7" t="s">
        <v>3240</v>
      </c>
      <c r="C49" s="8">
        <v>2</v>
      </c>
      <c r="D49" s="9">
        <v>29.98</v>
      </c>
      <c r="E49" s="8">
        <v>45069</v>
      </c>
      <c r="F49" s="7" t="s">
        <v>3443</v>
      </c>
      <c r="G49" s="10"/>
      <c r="H49" s="7" t="s">
        <v>3492</v>
      </c>
      <c r="I49" s="7" t="s">
        <v>3636</v>
      </c>
      <c r="J49" s="7" t="s">
        <v>3358</v>
      </c>
      <c r="K49" s="7" t="s">
        <v>3390</v>
      </c>
      <c r="L49" s="11" t="str">
        <f>HYPERLINK("http://slimages.macys.com/is/image/MCY/8745254 ")</f>
        <v xml:space="preserve">http://slimages.macys.com/is/image/MCY/8745254 </v>
      </c>
    </row>
    <row r="50" spans="1:12" ht="39.950000000000003" customHeight="1" x14ac:dyDescent="0.25">
      <c r="A50" s="6" t="s">
        <v>3241</v>
      </c>
      <c r="B50" s="7" t="s">
        <v>3242</v>
      </c>
      <c r="C50" s="8">
        <v>1</v>
      </c>
      <c r="D50" s="9">
        <v>13.99</v>
      </c>
      <c r="E50" s="8" t="s">
        <v>3243</v>
      </c>
      <c r="F50" s="7" t="s">
        <v>3371</v>
      </c>
      <c r="G50" s="10"/>
      <c r="H50" s="7" t="s">
        <v>3412</v>
      </c>
      <c r="I50" s="7" t="s">
        <v>4006</v>
      </c>
      <c r="J50" s="7" t="s">
        <v>3358</v>
      </c>
      <c r="K50" s="7" t="s">
        <v>3390</v>
      </c>
      <c r="L50" s="11" t="str">
        <f>HYPERLINK("http://slimages.macys.com/is/image/MCY/11312736 ")</f>
        <v xml:space="preserve">http://slimages.macys.com/is/image/MCY/11312736 </v>
      </c>
    </row>
    <row r="51" spans="1:12" ht="39.950000000000003" customHeight="1" x14ac:dyDescent="0.25">
      <c r="A51" s="6" t="s">
        <v>3244</v>
      </c>
      <c r="B51" s="7" t="s">
        <v>3245</v>
      </c>
      <c r="C51" s="8">
        <v>1</v>
      </c>
      <c r="D51" s="9">
        <v>16.989999999999998</v>
      </c>
      <c r="E51" s="8" t="s">
        <v>3246</v>
      </c>
      <c r="F51" s="7" t="s">
        <v>3247</v>
      </c>
      <c r="G51" s="10" t="s">
        <v>3532</v>
      </c>
      <c r="H51" s="7" t="s">
        <v>3482</v>
      </c>
      <c r="I51" s="7" t="s">
        <v>3618</v>
      </c>
      <c r="J51" s="7" t="s">
        <v>3358</v>
      </c>
      <c r="K51" s="7" t="s">
        <v>3484</v>
      </c>
      <c r="L51" s="11" t="str">
        <f>HYPERLINK("http://slimages.macys.com/is/image/MCY/12737864 ")</f>
        <v xml:space="preserve">http://slimages.macys.com/is/image/MCY/12737864 </v>
      </c>
    </row>
    <row r="52" spans="1:12" ht="39.950000000000003" customHeight="1" x14ac:dyDescent="0.25">
      <c r="A52" s="6" t="s">
        <v>3248</v>
      </c>
      <c r="B52" s="7" t="s">
        <v>3249</v>
      </c>
      <c r="C52" s="8">
        <v>2</v>
      </c>
      <c r="D52" s="9">
        <v>64</v>
      </c>
      <c r="E52" s="8" t="s">
        <v>3250</v>
      </c>
      <c r="F52" s="7" t="s">
        <v>3701</v>
      </c>
      <c r="G52" s="10" t="s">
        <v>3774</v>
      </c>
      <c r="H52" s="7" t="s">
        <v>3372</v>
      </c>
      <c r="I52" s="7" t="s">
        <v>3251</v>
      </c>
      <c r="J52" s="7" t="s">
        <v>3252</v>
      </c>
      <c r="K52" s="7" t="s">
        <v>3614</v>
      </c>
      <c r="L52" s="11" t="str">
        <f>HYPERLINK("http://images.bloomingdales.com/is/image/BLM/10231000 ")</f>
        <v xml:space="preserve">http://images.bloomingdales.com/is/image/BLM/10231000 </v>
      </c>
    </row>
    <row r="53" spans="1:12" ht="39.950000000000003" customHeight="1" x14ac:dyDescent="0.25">
      <c r="A53" s="6" t="s">
        <v>3253</v>
      </c>
      <c r="B53" s="7" t="s">
        <v>3254</v>
      </c>
      <c r="C53" s="8">
        <v>1</v>
      </c>
      <c r="D53" s="9">
        <v>11.99</v>
      </c>
      <c r="E53" s="8">
        <v>2597501</v>
      </c>
      <c r="F53" s="7" t="s">
        <v>3525</v>
      </c>
      <c r="G53" s="10" t="s">
        <v>3504</v>
      </c>
      <c r="H53" s="7" t="s">
        <v>3412</v>
      </c>
      <c r="I53" s="7" t="s">
        <v>3944</v>
      </c>
      <c r="J53" s="7" t="s">
        <v>3358</v>
      </c>
      <c r="K53" s="7" t="s">
        <v>3390</v>
      </c>
      <c r="L53" s="11" t="str">
        <f>HYPERLINK("http://slimages.macys.com/is/image/MCY/15716250 ")</f>
        <v xml:space="preserve">http://slimages.macys.com/is/image/MCY/15716250 </v>
      </c>
    </row>
    <row r="54" spans="1:12" ht="39.950000000000003" customHeight="1" x14ac:dyDescent="0.25">
      <c r="A54" s="6" t="s">
        <v>3255</v>
      </c>
      <c r="B54" s="7" t="s">
        <v>3256</v>
      </c>
      <c r="C54" s="8">
        <v>1</v>
      </c>
      <c r="D54" s="9">
        <v>9.99</v>
      </c>
      <c r="E54" s="8" t="s">
        <v>3257</v>
      </c>
      <c r="F54" s="7" t="s">
        <v>3363</v>
      </c>
      <c r="G54" s="10" t="s">
        <v>4192</v>
      </c>
      <c r="H54" s="7" t="s">
        <v>3482</v>
      </c>
      <c r="I54" s="7" t="s">
        <v>3618</v>
      </c>
      <c r="J54" s="7" t="s">
        <v>3358</v>
      </c>
      <c r="K54" s="7" t="s">
        <v>3582</v>
      </c>
      <c r="L54" s="11" t="str">
        <f>HYPERLINK("http://slimages.macys.com/is/image/MCY/13285497 ")</f>
        <v xml:space="preserve">http://slimages.macys.com/is/image/MCY/13285497 </v>
      </c>
    </row>
    <row r="55" spans="1:12" ht="39.950000000000003" customHeight="1" x14ac:dyDescent="0.25">
      <c r="A55" s="6" t="s">
        <v>2597</v>
      </c>
      <c r="B55" s="7" t="s">
        <v>2598</v>
      </c>
      <c r="C55" s="8">
        <v>1</v>
      </c>
      <c r="D55" s="9">
        <v>82.5</v>
      </c>
      <c r="E55" s="8"/>
      <c r="F55" s="7" t="s">
        <v>3542</v>
      </c>
      <c r="G55" s="10" t="s">
        <v>3504</v>
      </c>
      <c r="H55" s="7" t="s">
        <v>3543</v>
      </c>
      <c r="I55" s="7" t="s">
        <v>3544</v>
      </c>
      <c r="J55" s="7"/>
      <c r="K55" s="7"/>
      <c r="L55" s="11"/>
    </row>
    <row r="56" spans="1:12" ht="39.950000000000003" customHeight="1" x14ac:dyDescent="0.25">
      <c r="A56" s="6" t="s">
        <v>3540</v>
      </c>
      <c r="B56" s="7" t="s">
        <v>3541</v>
      </c>
      <c r="C56" s="8">
        <v>5</v>
      </c>
      <c r="D56" s="9">
        <v>200</v>
      </c>
      <c r="E56" s="8"/>
      <c r="F56" s="7" t="s">
        <v>3542</v>
      </c>
      <c r="G56" s="10" t="s">
        <v>3504</v>
      </c>
      <c r="H56" s="7" t="s">
        <v>3543</v>
      </c>
      <c r="I56" s="7" t="s">
        <v>3544</v>
      </c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3258</v>
      </c>
      <c r="B2" s="7" t="s">
        <v>3259</v>
      </c>
      <c r="C2" s="8">
        <v>1</v>
      </c>
      <c r="D2" s="9">
        <v>595</v>
      </c>
      <c r="E2" s="8" t="s">
        <v>3260</v>
      </c>
      <c r="F2" s="7" t="s">
        <v>3706</v>
      </c>
      <c r="G2" s="10"/>
      <c r="H2" s="7" t="s">
        <v>3412</v>
      </c>
      <c r="I2" s="7" t="s">
        <v>3261</v>
      </c>
      <c r="J2" s="7" t="s">
        <v>3262</v>
      </c>
      <c r="K2" s="7" t="s">
        <v>3263</v>
      </c>
      <c r="L2" s="11" t="str">
        <f>HYPERLINK("http://images.bloomingdales.com/is/image/BLM/10785889 ")</f>
        <v xml:space="preserve">http://images.bloomingdales.com/is/image/BLM/10785889 </v>
      </c>
    </row>
    <row r="3" spans="1:12" ht="39.950000000000003" customHeight="1" x14ac:dyDescent="0.25">
      <c r="A3" s="6" t="s">
        <v>3264</v>
      </c>
      <c r="B3" s="7" t="s">
        <v>3265</v>
      </c>
      <c r="C3" s="8">
        <v>1</v>
      </c>
      <c r="D3" s="9">
        <v>179.99</v>
      </c>
      <c r="E3" s="8" t="s">
        <v>3266</v>
      </c>
      <c r="F3" s="7" t="s">
        <v>3384</v>
      </c>
      <c r="G3" s="10"/>
      <c r="H3" s="7" t="s">
        <v>3397</v>
      </c>
      <c r="I3" s="7" t="s">
        <v>3590</v>
      </c>
      <c r="J3" s="7" t="s">
        <v>3358</v>
      </c>
      <c r="K3" s="7" t="s">
        <v>3121</v>
      </c>
      <c r="L3" s="11" t="str">
        <f>HYPERLINK("http://slimages.macys.com/is/image/MCY/9965257 ")</f>
        <v xml:space="preserve">http://slimages.macys.com/is/image/MCY/9965257 </v>
      </c>
    </row>
    <row r="4" spans="1:12" ht="39.950000000000003" customHeight="1" x14ac:dyDescent="0.25">
      <c r="A4" s="6" t="s">
        <v>3267</v>
      </c>
      <c r="B4" s="7" t="s">
        <v>3268</v>
      </c>
      <c r="C4" s="8">
        <v>1</v>
      </c>
      <c r="D4" s="9">
        <v>149.99</v>
      </c>
      <c r="E4" s="8" t="s">
        <v>3269</v>
      </c>
      <c r="F4" s="7" t="s">
        <v>3355</v>
      </c>
      <c r="G4" s="10"/>
      <c r="H4" s="7" t="s">
        <v>3397</v>
      </c>
      <c r="I4" s="7" t="s">
        <v>3590</v>
      </c>
      <c r="J4" s="7" t="s">
        <v>3358</v>
      </c>
      <c r="K4" s="7"/>
      <c r="L4" s="11" t="str">
        <f>HYPERLINK("http://slimages.macys.com/is/image/MCY/8689939 ")</f>
        <v xml:space="preserve">http://slimages.macys.com/is/image/MCY/8689939 </v>
      </c>
    </row>
    <row r="5" spans="1:12" ht="39.950000000000003" customHeight="1" x14ac:dyDescent="0.25">
      <c r="A5" s="6" t="s">
        <v>3270</v>
      </c>
      <c r="B5" s="7" t="s">
        <v>3271</v>
      </c>
      <c r="C5" s="8">
        <v>1</v>
      </c>
      <c r="D5" s="9">
        <v>360</v>
      </c>
      <c r="E5" s="8" t="s">
        <v>3272</v>
      </c>
      <c r="F5" s="7" t="s">
        <v>3498</v>
      </c>
      <c r="G5" s="10"/>
      <c r="H5" s="7" t="s">
        <v>3365</v>
      </c>
      <c r="I5" s="7" t="s">
        <v>3273</v>
      </c>
      <c r="J5" s="7" t="s">
        <v>3813</v>
      </c>
      <c r="K5" s="7" t="s">
        <v>4282</v>
      </c>
      <c r="L5" s="11" t="str">
        <f>HYPERLINK("http://images.bloomingdales.com/is/image/BLM/9757368 ")</f>
        <v xml:space="preserve">http://images.bloomingdales.com/is/image/BLM/9757368 </v>
      </c>
    </row>
    <row r="6" spans="1:12" ht="39.950000000000003" customHeight="1" x14ac:dyDescent="0.25">
      <c r="A6" s="6" t="s">
        <v>3274</v>
      </c>
      <c r="B6" s="7" t="s">
        <v>3275</v>
      </c>
      <c r="C6" s="8">
        <v>1</v>
      </c>
      <c r="D6" s="9">
        <v>119.99</v>
      </c>
      <c r="E6" s="8" t="s">
        <v>3276</v>
      </c>
      <c r="F6" s="7" t="s">
        <v>3525</v>
      </c>
      <c r="G6" s="10"/>
      <c r="H6" s="7" t="s">
        <v>3397</v>
      </c>
      <c r="I6" s="7" t="s">
        <v>3277</v>
      </c>
      <c r="J6" s="7" t="s">
        <v>3358</v>
      </c>
      <c r="K6" s="7" t="s">
        <v>3390</v>
      </c>
      <c r="L6" s="11" t="str">
        <f>HYPERLINK("http://slimages.macys.com/is/image/MCY/12846668 ")</f>
        <v xml:space="preserve">http://slimages.macys.com/is/image/MCY/12846668 </v>
      </c>
    </row>
    <row r="7" spans="1:12" ht="39.950000000000003" customHeight="1" x14ac:dyDescent="0.25">
      <c r="A7" s="6" t="s">
        <v>3278</v>
      </c>
      <c r="B7" s="7" t="s">
        <v>3279</v>
      </c>
      <c r="C7" s="8">
        <v>1</v>
      </c>
      <c r="D7" s="9">
        <v>209.99</v>
      </c>
      <c r="E7" s="8">
        <v>10981420</v>
      </c>
      <c r="F7" s="7" t="s">
        <v>3363</v>
      </c>
      <c r="G7" s="10"/>
      <c r="H7" s="7" t="s">
        <v>3526</v>
      </c>
      <c r="I7" s="7" t="s">
        <v>3280</v>
      </c>
      <c r="J7" s="7" t="s">
        <v>3358</v>
      </c>
      <c r="K7" s="7" t="s">
        <v>3281</v>
      </c>
      <c r="L7" s="11" t="str">
        <f>HYPERLINK("http://slimages.macys.com/is/image/MCY/13047645 ")</f>
        <v xml:space="preserve">http://slimages.macys.com/is/image/MCY/13047645 </v>
      </c>
    </row>
    <row r="8" spans="1:12" ht="39.950000000000003" customHeight="1" x14ac:dyDescent="0.25">
      <c r="A8" s="6" t="s">
        <v>3282</v>
      </c>
      <c r="B8" s="7" t="s">
        <v>3283</v>
      </c>
      <c r="C8" s="8">
        <v>1</v>
      </c>
      <c r="D8" s="9">
        <v>129.99</v>
      </c>
      <c r="E8" s="8" t="s">
        <v>3284</v>
      </c>
      <c r="F8" s="7" t="s">
        <v>3498</v>
      </c>
      <c r="G8" s="10"/>
      <c r="H8" s="7" t="s">
        <v>3397</v>
      </c>
      <c r="I8" s="7" t="s">
        <v>3590</v>
      </c>
      <c r="J8" s="7" t="s">
        <v>3358</v>
      </c>
      <c r="K8" s="7" t="s">
        <v>3285</v>
      </c>
      <c r="L8" s="11" t="str">
        <f>HYPERLINK("http://slimages.macys.com/is/image/MCY/9248689 ")</f>
        <v xml:space="preserve">http://slimages.macys.com/is/image/MCY/9248689 </v>
      </c>
    </row>
    <row r="9" spans="1:12" ht="39.950000000000003" customHeight="1" x14ac:dyDescent="0.25">
      <c r="A9" s="6" t="s">
        <v>3286</v>
      </c>
      <c r="B9" s="7" t="s">
        <v>3287</v>
      </c>
      <c r="C9" s="8">
        <v>1</v>
      </c>
      <c r="D9" s="9">
        <v>199.99</v>
      </c>
      <c r="E9" s="8" t="s">
        <v>3288</v>
      </c>
      <c r="F9" s="7" t="s">
        <v>3363</v>
      </c>
      <c r="G9" s="10"/>
      <c r="H9" s="7" t="s">
        <v>3365</v>
      </c>
      <c r="I9" s="7" t="s">
        <v>3366</v>
      </c>
      <c r="J9" s="7" t="s">
        <v>3358</v>
      </c>
      <c r="K9" s="7"/>
      <c r="L9" s="11" t="str">
        <f>HYPERLINK("http://slimages.macys.com/is/image/MCY/8179774 ")</f>
        <v xml:space="preserve">http://slimages.macys.com/is/image/MCY/8179774 </v>
      </c>
    </row>
    <row r="10" spans="1:12" ht="39.950000000000003" customHeight="1" x14ac:dyDescent="0.25">
      <c r="A10" s="6" t="s">
        <v>3289</v>
      </c>
      <c r="B10" s="7" t="s">
        <v>3290</v>
      </c>
      <c r="C10" s="8">
        <v>1</v>
      </c>
      <c r="D10" s="9">
        <v>149.99</v>
      </c>
      <c r="E10" s="8" t="s">
        <v>3291</v>
      </c>
      <c r="F10" s="7" t="s">
        <v>3363</v>
      </c>
      <c r="G10" s="10"/>
      <c r="H10" s="7" t="s">
        <v>3658</v>
      </c>
      <c r="I10" s="7" t="s">
        <v>2657</v>
      </c>
      <c r="J10" s="7" t="s">
        <v>3358</v>
      </c>
      <c r="K10" s="7" t="s">
        <v>3521</v>
      </c>
      <c r="L10" s="11" t="str">
        <f>HYPERLINK("http://slimages.macys.com/is/image/MCY/12072133 ")</f>
        <v xml:space="preserve">http://slimages.macys.com/is/image/MCY/12072133 </v>
      </c>
    </row>
    <row r="11" spans="1:12" ht="39.950000000000003" customHeight="1" x14ac:dyDescent="0.25">
      <c r="A11" s="6" t="s">
        <v>3292</v>
      </c>
      <c r="B11" s="7" t="s">
        <v>3293</v>
      </c>
      <c r="C11" s="8">
        <v>1</v>
      </c>
      <c r="D11" s="9">
        <v>109.99</v>
      </c>
      <c r="E11" s="8" t="s">
        <v>3294</v>
      </c>
      <c r="F11" s="7" t="s">
        <v>3531</v>
      </c>
      <c r="G11" s="10"/>
      <c r="H11" s="7" t="s">
        <v>3408</v>
      </c>
      <c r="I11" s="7" t="s">
        <v>3409</v>
      </c>
      <c r="J11" s="7"/>
      <c r="K11" s="7"/>
      <c r="L11" s="11" t="str">
        <f>HYPERLINK("http://slimages.macys.com/is/image/MCY/18221346 ")</f>
        <v xml:space="preserve">http://slimages.macys.com/is/image/MCY/18221346 </v>
      </c>
    </row>
    <row r="12" spans="1:12" ht="39.950000000000003" customHeight="1" x14ac:dyDescent="0.25">
      <c r="A12" s="6" t="s">
        <v>3295</v>
      </c>
      <c r="B12" s="7" t="s">
        <v>3296</v>
      </c>
      <c r="C12" s="8">
        <v>1</v>
      </c>
      <c r="D12" s="9">
        <v>99.99</v>
      </c>
      <c r="E12" s="8">
        <v>61131</v>
      </c>
      <c r="F12" s="7" t="s">
        <v>3363</v>
      </c>
      <c r="G12" s="10"/>
      <c r="H12" s="7" t="s">
        <v>3388</v>
      </c>
      <c r="I12" s="7" t="s">
        <v>3389</v>
      </c>
      <c r="J12" s="7" t="s">
        <v>3358</v>
      </c>
      <c r="K12" s="7" t="s">
        <v>3390</v>
      </c>
      <c r="L12" s="11" t="str">
        <f>HYPERLINK("http://slimages.macys.com/is/image/MCY/15866395 ")</f>
        <v xml:space="preserve">http://slimages.macys.com/is/image/MCY/15866395 </v>
      </c>
    </row>
    <row r="13" spans="1:12" ht="39.950000000000003" customHeight="1" x14ac:dyDescent="0.25">
      <c r="A13" s="6" t="s">
        <v>3297</v>
      </c>
      <c r="B13" s="7" t="s">
        <v>3298</v>
      </c>
      <c r="C13" s="8">
        <v>1</v>
      </c>
      <c r="D13" s="9">
        <v>129.99</v>
      </c>
      <c r="E13" s="8" t="s">
        <v>3299</v>
      </c>
      <c r="F13" s="7" t="s">
        <v>3300</v>
      </c>
      <c r="G13" s="10"/>
      <c r="H13" s="7" t="s">
        <v>3601</v>
      </c>
      <c r="I13" s="7" t="s">
        <v>3602</v>
      </c>
      <c r="J13" s="7" t="s">
        <v>3358</v>
      </c>
      <c r="K13" s="7" t="s">
        <v>3301</v>
      </c>
      <c r="L13" s="11" t="str">
        <f>HYPERLINK("http://slimages.macys.com/is/image/MCY/8433239 ")</f>
        <v xml:space="preserve">http://slimages.macys.com/is/image/MCY/8433239 </v>
      </c>
    </row>
    <row r="14" spans="1:12" ht="39.950000000000003" customHeight="1" x14ac:dyDescent="0.25">
      <c r="A14" s="6" t="s">
        <v>3302</v>
      </c>
      <c r="B14" s="7" t="s">
        <v>3303</v>
      </c>
      <c r="C14" s="8">
        <v>1</v>
      </c>
      <c r="D14" s="9">
        <v>94.99</v>
      </c>
      <c r="E14" s="8" t="s">
        <v>3304</v>
      </c>
      <c r="F14" s="7" t="s">
        <v>3553</v>
      </c>
      <c r="G14" s="10" t="s">
        <v>3520</v>
      </c>
      <c r="H14" s="7" t="s">
        <v>3365</v>
      </c>
      <c r="I14" s="7" t="s">
        <v>3366</v>
      </c>
      <c r="J14" s="7" t="s">
        <v>3358</v>
      </c>
      <c r="K14" s="7" t="s">
        <v>4138</v>
      </c>
      <c r="L14" s="11" t="str">
        <f>HYPERLINK("http://slimages.macys.com/is/image/MCY/8182285 ")</f>
        <v xml:space="preserve">http://slimages.macys.com/is/image/MCY/8182285 </v>
      </c>
    </row>
    <row r="15" spans="1:12" ht="39.950000000000003" customHeight="1" x14ac:dyDescent="0.25">
      <c r="A15" s="6" t="s">
        <v>3305</v>
      </c>
      <c r="B15" s="7" t="s">
        <v>3306</v>
      </c>
      <c r="C15" s="8">
        <v>1</v>
      </c>
      <c r="D15" s="9">
        <v>155</v>
      </c>
      <c r="E15" s="8" t="s">
        <v>3307</v>
      </c>
      <c r="F15" s="7" t="s">
        <v>3363</v>
      </c>
      <c r="G15" s="10"/>
      <c r="H15" s="7" t="s">
        <v>3418</v>
      </c>
      <c r="I15" s="7" t="s">
        <v>3195</v>
      </c>
      <c r="J15" s="7" t="s">
        <v>3813</v>
      </c>
      <c r="K15" s="7" t="s">
        <v>3702</v>
      </c>
      <c r="L15" s="11" t="str">
        <f>HYPERLINK("http://images.bloomingdales.com/is/image/BLM/10498701 ")</f>
        <v xml:space="preserve">http://images.bloomingdales.com/is/image/BLM/10498701 </v>
      </c>
    </row>
    <row r="16" spans="1:12" ht="39.950000000000003" customHeight="1" x14ac:dyDescent="0.25">
      <c r="A16" s="6" t="s">
        <v>3308</v>
      </c>
      <c r="B16" s="7" t="s">
        <v>3309</v>
      </c>
      <c r="C16" s="8">
        <v>1</v>
      </c>
      <c r="D16" s="9">
        <v>129.99</v>
      </c>
      <c r="E16" s="8" t="s">
        <v>2676</v>
      </c>
      <c r="F16" s="7" t="s">
        <v>3363</v>
      </c>
      <c r="G16" s="10"/>
      <c r="H16" s="7" t="s">
        <v>3601</v>
      </c>
      <c r="I16" s="7" t="s">
        <v>3602</v>
      </c>
      <c r="J16" s="7" t="s">
        <v>3358</v>
      </c>
      <c r="K16" s="7" t="s">
        <v>3521</v>
      </c>
      <c r="L16" s="11" t="str">
        <f>HYPERLINK("http://slimages.macys.com/is/image/MCY/15389610 ")</f>
        <v xml:space="preserve">http://slimages.macys.com/is/image/MCY/15389610 </v>
      </c>
    </row>
    <row r="17" spans="1:12" ht="39.950000000000003" customHeight="1" x14ac:dyDescent="0.25">
      <c r="A17" s="6" t="s">
        <v>3310</v>
      </c>
      <c r="B17" s="7" t="s">
        <v>3311</v>
      </c>
      <c r="C17" s="8">
        <v>1</v>
      </c>
      <c r="D17" s="9">
        <v>115</v>
      </c>
      <c r="E17" s="8" t="s">
        <v>3312</v>
      </c>
      <c r="F17" s="7" t="s">
        <v>3384</v>
      </c>
      <c r="G17" s="10" t="s">
        <v>3958</v>
      </c>
      <c r="H17" s="7" t="s">
        <v>3397</v>
      </c>
      <c r="I17" s="7" t="s">
        <v>3812</v>
      </c>
      <c r="J17" s="7" t="s">
        <v>3813</v>
      </c>
      <c r="K17" s="7" t="s">
        <v>3313</v>
      </c>
      <c r="L17" s="11" t="str">
        <f>HYPERLINK("http://images.bloomingdales.com/is/image/BLM/10525041 ")</f>
        <v xml:space="preserve">http://images.bloomingdales.com/is/image/BLM/10525041 </v>
      </c>
    </row>
    <row r="18" spans="1:12" ht="39.950000000000003" customHeight="1" x14ac:dyDescent="0.25">
      <c r="A18" s="6" t="s">
        <v>3420</v>
      </c>
      <c r="B18" s="7" t="s">
        <v>3421</v>
      </c>
      <c r="C18" s="8">
        <v>1</v>
      </c>
      <c r="D18" s="9">
        <v>44.99</v>
      </c>
      <c r="E18" s="8">
        <v>4402</v>
      </c>
      <c r="F18" s="7" t="s">
        <v>3363</v>
      </c>
      <c r="G18" s="10"/>
      <c r="H18" s="7" t="s">
        <v>3422</v>
      </c>
      <c r="I18" s="7" t="s">
        <v>3423</v>
      </c>
      <c r="J18" s="7" t="s">
        <v>3358</v>
      </c>
      <c r="K18" s="7"/>
      <c r="L18" s="11" t="str">
        <f>HYPERLINK("http://slimages.macys.com/is/image/MCY/9873929 ")</f>
        <v xml:space="preserve">http://slimages.macys.com/is/image/MCY/9873929 </v>
      </c>
    </row>
    <row r="19" spans="1:12" ht="39.950000000000003" customHeight="1" x14ac:dyDescent="0.25">
      <c r="A19" s="6" t="s">
        <v>3314</v>
      </c>
      <c r="B19" s="7" t="s">
        <v>3315</v>
      </c>
      <c r="C19" s="8">
        <v>1</v>
      </c>
      <c r="D19" s="9">
        <v>90.99</v>
      </c>
      <c r="E19" s="8" t="s">
        <v>3316</v>
      </c>
      <c r="F19" s="7" t="s">
        <v>3840</v>
      </c>
      <c r="G19" s="10"/>
      <c r="H19" s="7" t="s">
        <v>3492</v>
      </c>
      <c r="I19" s="7" t="s">
        <v>3317</v>
      </c>
      <c r="J19" s="7" t="s">
        <v>3358</v>
      </c>
      <c r="K19" s="7" t="s">
        <v>3390</v>
      </c>
      <c r="L19" s="11" t="str">
        <f>HYPERLINK("http://slimages.macys.com/is/image/MCY/11573143 ")</f>
        <v xml:space="preserve">http://slimages.macys.com/is/image/MCY/11573143 </v>
      </c>
    </row>
    <row r="20" spans="1:12" ht="39.950000000000003" customHeight="1" x14ac:dyDescent="0.25">
      <c r="A20" s="6" t="s">
        <v>3318</v>
      </c>
      <c r="B20" s="7" t="s">
        <v>3319</v>
      </c>
      <c r="C20" s="8">
        <v>1</v>
      </c>
      <c r="D20" s="9">
        <v>69.989999999999995</v>
      </c>
      <c r="E20" s="8" t="s">
        <v>3320</v>
      </c>
      <c r="F20" s="7" t="s">
        <v>3673</v>
      </c>
      <c r="G20" s="10"/>
      <c r="H20" s="7" t="s">
        <v>3601</v>
      </c>
      <c r="I20" s="7" t="s">
        <v>3602</v>
      </c>
      <c r="J20" s="7" t="s">
        <v>3358</v>
      </c>
      <c r="K20" s="7" t="s">
        <v>4282</v>
      </c>
      <c r="L20" s="11" t="str">
        <f>HYPERLINK("http://slimages.macys.com/is/image/MCY/8433239 ")</f>
        <v xml:space="preserve">http://slimages.macys.com/is/image/MCY/8433239 </v>
      </c>
    </row>
    <row r="21" spans="1:12" ht="39.950000000000003" customHeight="1" x14ac:dyDescent="0.25">
      <c r="A21" s="6" t="s">
        <v>3321</v>
      </c>
      <c r="B21" s="7" t="s">
        <v>3322</v>
      </c>
      <c r="C21" s="8">
        <v>1</v>
      </c>
      <c r="D21" s="9">
        <v>89.99</v>
      </c>
      <c r="E21" s="8" t="s">
        <v>3323</v>
      </c>
      <c r="F21" s="7" t="s">
        <v>4219</v>
      </c>
      <c r="G21" s="10"/>
      <c r="H21" s="7" t="s">
        <v>3408</v>
      </c>
      <c r="I21" s="7" t="s">
        <v>4354</v>
      </c>
      <c r="J21" s="7" t="s">
        <v>3358</v>
      </c>
      <c r="K21" s="7"/>
      <c r="L21" s="11" t="str">
        <f>HYPERLINK("http://slimages.macys.com/is/image/MCY/9940182 ")</f>
        <v xml:space="preserve">http://slimages.macys.com/is/image/MCY/9940182 </v>
      </c>
    </row>
    <row r="22" spans="1:12" ht="39.950000000000003" customHeight="1" x14ac:dyDescent="0.25">
      <c r="A22" s="6" t="s">
        <v>3324</v>
      </c>
      <c r="B22" s="7" t="s">
        <v>3325</v>
      </c>
      <c r="C22" s="8">
        <v>1</v>
      </c>
      <c r="D22" s="9">
        <v>109.99</v>
      </c>
      <c r="E22" s="8" t="s">
        <v>3326</v>
      </c>
      <c r="F22" s="7" t="s">
        <v>3363</v>
      </c>
      <c r="G22" s="10" t="s">
        <v>3914</v>
      </c>
      <c r="H22" s="7" t="s">
        <v>3365</v>
      </c>
      <c r="I22" s="7" t="s">
        <v>3973</v>
      </c>
      <c r="J22" s="7" t="s">
        <v>3751</v>
      </c>
      <c r="K22" s="7" t="s">
        <v>3327</v>
      </c>
      <c r="L22" s="11" t="str">
        <f>HYPERLINK("http://images.bloomingdales.com/is/image/BLM/10475636 ")</f>
        <v xml:space="preserve">http://images.bloomingdales.com/is/image/BLM/10475636 </v>
      </c>
    </row>
    <row r="23" spans="1:12" ht="39.950000000000003" customHeight="1" x14ac:dyDescent="0.25">
      <c r="A23" s="6" t="s">
        <v>3328</v>
      </c>
      <c r="B23" s="7" t="s">
        <v>3329</v>
      </c>
      <c r="C23" s="8">
        <v>1</v>
      </c>
      <c r="D23" s="9">
        <v>69.989999999999995</v>
      </c>
      <c r="E23" s="8" t="s">
        <v>3330</v>
      </c>
      <c r="F23" s="7" t="s">
        <v>3531</v>
      </c>
      <c r="G23" s="10"/>
      <c r="H23" s="7" t="s">
        <v>3601</v>
      </c>
      <c r="I23" s="7" t="s">
        <v>3602</v>
      </c>
      <c r="J23" s="7" t="s">
        <v>3358</v>
      </c>
      <c r="K23" s="7" t="s">
        <v>4282</v>
      </c>
      <c r="L23" s="11" t="str">
        <f>HYPERLINK("http://slimages.macys.com/is/image/MCY/8433239 ")</f>
        <v xml:space="preserve">http://slimages.macys.com/is/image/MCY/8433239 </v>
      </c>
    </row>
    <row r="24" spans="1:12" ht="39.950000000000003" customHeight="1" x14ac:dyDescent="0.25">
      <c r="A24" s="6" t="s">
        <v>3331</v>
      </c>
      <c r="B24" s="7" t="s">
        <v>3332</v>
      </c>
      <c r="C24" s="8">
        <v>1</v>
      </c>
      <c r="D24" s="9">
        <v>95</v>
      </c>
      <c r="E24" s="8" t="s">
        <v>3333</v>
      </c>
      <c r="F24" s="7" t="s">
        <v>3937</v>
      </c>
      <c r="G24" s="10" t="s">
        <v>3334</v>
      </c>
      <c r="H24" s="7" t="s">
        <v>3471</v>
      </c>
      <c r="I24" s="7" t="s">
        <v>3335</v>
      </c>
      <c r="J24" s="7" t="s">
        <v>3751</v>
      </c>
      <c r="K24" s="7" t="s">
        <v>3336</v>
      </c>
      <c r="L24" s="11" t="str">
        <f>HYPERLINK("http://images.bloomingdales.com/is/image/BLM/10655024 ")</f>
        <v xml:space="preserve">http://images.bloomingdales.com/is/image/BLM/10655024 </v>
      </c>
    </row>
    <row r="25" spans="1:12" ht="39.950000000000003" customHeight="1" x14ac:dyDescent="0.25">
      <c r="A25" s="6" t="s">
        <v>3337</v>
      </c>
      <c r="B25" s="7" t="s">
        <v>1363</v>
      </c>
      <c r="C25" s="8">
        <v>1</v>
      </c>
      <c r="D25" s="9">
        <v>69.989999999999995</v>
      </c>
      <c r="E25" s="8" t="s">
        <v>1364</v>
      </c>
      <c r="F25" s="7" t="s">
        <v>3363</v>
      </c>
      <c r="G25" s="10"/>
      <c r="H25" s="7" t="s">
        <v>3408</v>
      </c>
      <c r="I25" s="7" t="s">
        <v>4354</v>
      </c>
      <c r="J25" s="7" t="s">
        <v>3358</v>
      </c>
      <c r="K25" s="7" t="s">
        <v>3582</v>
      </c>
      <c r="L25" s="11" t="str">
        <f>HYPERLINK("http://slimages.macys.com/is/image/MCY/17754899 ")</f>
        <v xml:space="preserve">http://slimages.macys.com/is/image/MCY/17754899 </v>
      </c>
    </row>
    <row r="26" spans="1:12" ht="39.950000000000003" customHeight="1" x14ac:dyDescent="0.25">
      <c r="A26" s="6" t="s">
        <v>1365</v>
      </c>
      <c r="B26" s="7" t="s">
        <v>1366</v>
      </c>
      <c r="C26" s="8">
        <v>1</v>
      </c>
      <c r="D26" s="9">
        <v>60</v>
      </c>
      <c r="E26" s="8" t="s">
        <v>1367</v>
      </c>
      <c r="F26" s="7" t="s">
        <v>3937</v>
      </c>
      <c r="G26" s="10" t="s">
        <v>3504</v>
      </c>
      <c r="H26" s="7" t="s">
        <v>3471</v>
      </c>
      <c r="I26" s="7" t="s">
        <v>3335</v>
      </c>
      <c r="J26" s="7" t="s">
        <v>3751</v>
      </c>
      <c r="K26" s="7" t="s">
        <v>1368</v>
      </c>
      <c r="L26" s="11" t="str">
        <f>HYPERLINK("http://images.bloomingdales.com/is/image/BLM/11133766 ")</f>
        <v xml:space="preserve">http://images.bloomingdales.com/is/image/BLM/11133766 </v>
      </c>
    </row>
    <row r="27" spans="1:12" ht="39.950000000000003" customHeight="1" x14ac:dyDescent="0.25">
      <c r="A27" s="6" t="s">
        <v>1369</v>
      </c>
      <c r="B27" s="7" t="s">
        <v>1370</v>
      </c>
      <c r="C27" s="8">
        <v>1</v>
      </c>
      <c r="D27" s="9">
        <v>145</v>
      </c>
      <c r="E27" s="8" t="s">
        <v>1371</v>
      </c>
      <c r="F27" s="7" t="s">
        <v>3363</v>
      </c>
      <c r="G27" s="10"/>
      <c r="H27" s="7" t="s">
        <v>3471</v>
      </c>
      <c r="I27" s="7" t="s">
        <v>4188</v>
      </c>
      <c r="J27" s="7" t="s">
        <v>3379</v>
      </c>
      <c r="K27" s="7" t="s">
        <v>3196</v>
      </c>
      <c r="L27" s="11" t="str">
        <f>HYPERLINK("http://images.bloomingdales.com/is/image/BLM/10265455 ")</f>
        <v xml:space="preserve">http://images.bloomingdales.com/is/image/BLM/10265455 </v>
      </c>
    </row>
    <row r="28" spans="1:12" ht="39.950000000000003" customHeight="1" x14ac:dyDescent="0.25">
      <c r="A28" s="6" t="s">
        <v>1372</v>
      </c>
      <c r="B28" s="7" t="s">
        <v>1373</v>
      </c>
      <c r="C28" s="8">
        <v>1</v>
      </c>
      <c r="D28" s="9">
        <v>51.99</v>
      </c>
      <c r="E28" s="8" t="s">
        <v>1374</v>
      </c>
      <c r="F28" s="7" t="s">
        <v>3525</v>
      </c>
      <c r="G28" s="10"/>
      <c r="H28" s="7" t="s">
        <v>3356</v>
      </c>
      <c r="I28" s="7" t="s">
        <v>3436</v>
      </c>
      <c r="J28" s="7" t="s">
        <v>3358</v>
      </c>
      <c r="K28" s="7" t="s">
        <v>1375</v>
      </c>
      <c r="L28" s="11" t="str">
        <f>HYPERLINK("http://slimages.macys.com/is/image/MCY/15734826 ")</f>
        <v xml:space="preserve">http://slimages.macys.com/is/image/MCY/15734826 </v>
      </c>
    </row>
    <row r="29" spans="1:12" ht="39.950000000000003" customHeight="1" x14ac:dyDescent="0.25">
      <c r="A29" s="6" t="s">
        <v>1376</v>
      </c>
      <c r="B29" s="7" t="s">
        <v>1377</v>
      </c>
      <c r="C29" s="8">
        <v>1</v>
      </c>
      <c r="D29" s="9">
        <v>49.99</v>
      </c>
      <c r="E29" s="8">
        <v>2000000035</v>
      </c>
      <c r="F29" s="7" t="s">
        <v>3477</v>
      </c>
      <c r="G29" s="10"/>
      <c r="H29" s="7" t="s">
        <v>3412</v>
      </c>
      <c r="I29" s="7" t="s">
        <v>3413</v>
      </c>
      <c r="J29" s="7"/>
      <c r="K29" s="7"/>
      <c r="L29" s="11" t="str">
        <f>HYPERLINK("http://slimages.macys.com/is/image/MCY/17814255 ")</f>
        <v xml:space="preserve">http://slimages.macys.com/is/image/MCY/17814255 </v>
      </c>
    </row>
    <row r="30" spans="1:12" ht="39.950000000000003" customHeight="1" x14ac:dyDescent="0.25">
      <c r="A30" s="6" t="s">
        <v>1378</v>
      </c>
      <c r="B30" s="7" t="s">
        <v>1379</v>
      </c>
      <c r="C30" s="8">
        <v>1</v>
      </c>
      <c r="D30" s="9">
        <v>49.99</v>
      </c>
      <c r="E30" s="8" t="s">
        <v>1380</v>
      </c>
      <c r="F30" s="7" t="s">
        <v>3384</v>
      </c>
      <c r="G30" s="10"/>
      <c r="H30" s="7" t="s">
        <v>3412</v>
      </c>
      <c r="I30" s="7" t="s">
        <v>3413</v>
      </c>
      <c r="J30" s="7" t="s">
        <v>3358</v>
      </c>
      <c r="K30" s="7" t="s">
        <v>3390</v>
      </c>
      <c r="L30" s="11" t="str">
        <f>HYPERLINK("http://slimages.macys.com/is/image/MCY/8347198 ")</f>
        <v xml:space="preserve">http://slimages.macys.com/is/image/MCY/8347198 </v>
      </c>
    </row>
    <row r="31" spans="1:12" ht="39.950000000000003" customHeight="1" x14ac:dyDescent="0.25">
      <c r="A31" s="6" t="s">
        <v>1381</v>
      </c>
      <c r="B31" s="7" t="s">
        <v>1382</v>
      </c>
      <c r="C31" s="8">
        <v>1</v>
      </c>
      <c r="D31" s="9">
        <v>49.99</v>
      </c>
      <c r="E31" s="8" t="s">
        <v>1383</v>
      </c>
      <c r="F31" s="7"/>
      <c r="G31" s="10"/>
      <c r="H31" s="7" t="s">
        <v>3412</v>
      </c>
      <c r="I31" s="7" t="s">
        <v>3510</v>
      </c>
      <c r="J31" s="7"/>
      <c r="K31" s="7"/>
      <c r="L31" s="11" t="str">
        <f>HYPERLINK("http://slimages.macys.com/is/image/MCY/17892683 ")</f>
        <v xml:space="preserve">http://slimages.macys.com/is/image/MCY/17892683 </v>
      </c>
    </row>
    <row r="32" spans="1:12" ht="39.950000000000003" customHeight="1" x14ac:dyDescent="0.25">
      <c r="A32" s="6" t="s">
        <v>1384</v>
      </c>
      <c r="B32" s="7" t="s">
        <v>1385</v>
      </c>
      <c r="C32" s="8">
        <v>1</v>
      </c>
      <c r="D32" s="9">
        <v>52.99</v>
      </c>
      <c r="E32" s="8">
        <v>36113</v>
      </c>
      <c r="F32" s="7" t="s">
        <v>3363</v>
      </c>
      <c r="G32" s="10" t="s">
        <v>3645</v>
      </c>
      <c r="H32" s="7" t="s">
        <v>3388</v>
      </c>
      <c r="I32" s="7" t="s">
        <v>3389</v>
      </c>
      <c r="J32" s="7" t="s">
        <v>3379</v>
      </c>
      <c r="K32" s="7" t="s">
        <v>3390</v>
      </c>
      <c r="L32" s="11" t="str">
        <f>HYPERLINK("http://slimages.macys.com/is/image/MCY/16456689 ")</f>
        <v xml:space="preserve">http://slimages.macys.com/is/image/MCY/16456689 </v>
      </c>
    </row>
    <row r="33" spans="1:12" ht="39.950000000000003" customHeight="1" x14ac:dyDescent="0.25">
      <c r="A33" s="6" t="s">
        <v>1386</v>
      </c>
      <c r="B33" s="7" t="s">
        <v>1387</v>
      </c>
      <c r="C33" s="8">
        <v>1</v>
      </c>
      <c r="D33" s="9">
        <v>49.99</v>
      </c>
      <c r="E33" s="8" t="s">
        <v>1388</v>
      </c>
      <c r="F33" s="7" t="s">
        <v>3363</v>
      </c>
      <c r="G33" s="10" t="s">
        <v>3690</v>
      </c>
      <c r="H33" s="7" t="s">
        <v>3471</v>
      </c>
      <c r="I33" s="7" t="s">
        <v>3761</v>
      </c>
      <c r="J33" s="7" t="s">
        <v>3358</v>
      </c>
      <c r="K33" s="7" t="s">
        <v>3951</v>
      </c>
      <c r="L33" s="11" t="str">
        <f>HYPERLINK("http://slimages.macys.com/is/image/MCY/2265665 ")</f>
        <v xml:space="preserve">http://slimages.macys.com/is/image/MCY/2265665 </v>
      </c>
    </row>
    <row r="34" spans="1:12" ht="39.950000000000003" customHeight="1" x14ac:dyDescent="0.25">
      <c r="A34" s="6" t="s">
        <v>1389</v>
      </c>
      <c r="B34" s="7" t="s">
        <v>1390</v>
      </c>
      <c r="C34" s="8">
        <v>1</v>
      </c>
      <c r="D34" s="9">
        <v>59.99</v>
      </c>
      <c r="E34" s="8" t="s">
        <v>1391</v>
      </c>
      <c r="F34" s="7" t="s">
        <v>3363</v>
      </c>
      <c r="G34" s="10" t="s">
        <v>3663</v>
      </c>
      <c r="H34" s="7" t="s">
        <v>3471</v>
      </c>
      <c r="I34" s="7" t="s">
        <v>2549</v>
      </c>
      <c r="J34" s="7" t="s">
        <v>3358</v>
      </c>
      <c r="K34" s="7" t="s">
        <v>4002</v>
      </c>
      <c r="L34" s="11" t="str">
        <f>HYPERLINK("http://slimages.macys.com/is/image/MCY/8839646 ")</f>
        <v xml:space="preserve">http://slimages.macys.com/is/image/MCY/8839646 </v>
      </c>
    </row>
    <row r="35" spans="1:12" ht="39.950000000000003" customHeight="1" x14ac:dyDescent="0.25">
      <c r="A35" s="6" t="s">
        <v>1392</v>
      </c>
      <c r="B35" s="7" t="s">
        <v>1393</v>
      </c>
      <c r="C35" s="8">
        <v>1</v>
      </c>
      <c r="D35" s="9">
        <v>69.989999999999995</v>
      </c>
      <c r="E35" s="8" t="s">
        <v>1394</v>
      </c>
      <c r="F35" s="7" t="s">
        <v>3781</v>
      </c>
      <c r="G35" s="10"/>
      <c r="H35" s="7" t="s">
        <v>3365</v>
      </c>
      <c r="I35" s="7" t="s">
        <v>3385</v>
      </c>
      <c r="J35" s="7" t="s">
        <v>3358</v>
      </c>
      <c r="K35" s="7" t="s">
        <v>3845</v>
      </c>
      <c r="L35" s="11" t="str">
        <f>HYPERLINK("http://slimages.macys.com/is/image/MCY/15926394 ")</f>
        <v xml:space="preserve">http://slimages.macys.com/is/image/MCY/15926394 </v>
      </c>
    </row>
    <row r="36" spans="1:12" ht="39.950000000000003" customHeight="1" x14ac:dyDescent="0.25">
      <c r="A36" s="6" t="s">
        <v>1395</v>
      </c>
      <c r="B36" s="7" t="s">
        <v>1396</v>
      </c>
      <c r="C36" s="8">
        <v>1</v>
      </c>
      <c r="D36" s="9">
        <v>36.99</v>
      </c>
      <c r="E36" s="8">
        <v>54872</v>
      </c>
      <c r="F36" s="7" t="s">
        <v>3802</v>
      </c>
      <c r="G36" s="10"/>
      <c r="H36" s="7" t="s">
        <v>3492</v>
      </c>
      <c r="I36" s="7" t="s">
        <v>3636</v>
      </c>
      <c r="J36" s="7" t="s">
        <v>3358</v>
      </c>
      <c r="K36" s="7" t="s">
        <v>3582</v>
      </c>
      <c r="L36" s="11" t="str">
        <f>HYPERLINK("http://slimages.macys.com/is/image/MCY/11247661 ")</f>
        <v xml:space="preserve">http://slimages.macys.com/is/image/MCY/11247661 </v>
      </c>
    </row>
    <row r="37" spans="1:12" ht="39.950000000000003" customHeight="1" x14ac:dyDescent="0.25">
      <c r="A37" s="6" t="s">
        <v>1397</v>
      </c>
      <c r="B37" s="7" t="s">
        <v>1398</v>
      </c>
      <c r="C37" s="8">
        <v>1</v>
      </c>
      <c r="D37" s="9">
        <v>39.99</v>
      </c>
      <c r="E37" s="8">
        <v>130114</v>
      </c>
      <c r="F37" s="7" t="s">
        <v>3426</v>
      </c>
      <c r="G37" s="10" t="s">
        <v>3364</v>
      </c>
      <c r="H37" s="7" t="s">
        <v>3422</v>
      </c>
      <c r="I37" s="7" t="s">
        <v>3423</v>
      </c>
      <c r="J37" s="7" t="s">
        <v>3358</v>
      </c>
      <c r="K37" s="7" t="s">
        <v>4134</v>
      </c>
      <c r="L37" s="11" t="str">
        <f>HYPERLINK("http://slimages.macys.com/is/image/MCY/3895749 ")</f>
        <v xml:space="preserve">http://slimages.macys.com/is/image/MCY/3895749 </v>
      </c>
    </row>
    <row r="38" spans="1:12" ht="39.950000000000003" customHeight="1" x14ac:dyDescent="0.25">
      <c r="A38" s="6" t="s">
        <v>3684</v>
      </c>
      <c r="B38" s="7" t="s">
        <v>3685</v>
      </c>
      <c r="C38" s="8">
        <v>1</v>
      </c>
      <c r="D38" s="9">
        <v>79.989999999999995</v>
      </c>
      <c r="E38" s="8" t="s">
        <v>3686</v>
      </c>
      <c r="F38" s="7" t="s">
        <v>3363</v>
      </c>
      <c r="G38" s="10"/>
      <c r="H38" s="7" t="s">
        <v>3471</v>
      </c>
      <c r="I38" s="7" t="s">
        <v>3378</v>
      </c>
      <c r="J38" s="7" t="s">
        <v>3608</v>
      </c>
      <c r="K38" s="7"/>
      <c r="L38" s="11" t="str">
        <f>HYPERLINK("http://slimages.macys.com/is/image/MCY/12779303 ")</f>
        <v xml:space="preserve">http://slimages.macys.com/is/image/MCY/12779303 </v>
      </c>
    </row>
    <row r="39" spans="1:12" ht="39.950000000000003" customHeight="1" x14ac:dyDescent="0.25">
      <c r="A39" s="6" t="s">
        <v>1399</v>
      </c>
      <c r="B39" s="7" t="s">
        <v>1400</v>
      </c>
      <c r="C39" s="8">
        <v>1</v>
      </c>
      <c r="D39" s="9">
        <v>39.99</v>
      </c>
      <c r="E39" s="8">
        <v>1003125200</v>
      </c>
      <c r="F39" s="7" t="s">
        <v>3363</v>
      </c>
      <c r="G39" s="10"/>
      <c r="H39" s="7" t="s">
        <v>3482</v>
      </c>
      <c r="I39" s="7" t="s">
        <v>1401</v>
      </c>
      <c r="J39" s="7" t="s">
        <v>3358</v>
      </c>
      <c r="K39" s="7" t="s">
        <v>3484</v>
      </c>
      <c r="L39" s="11" t="str">
        <f>HYPERLINK("http://slimages.macys.com/is/image/MCY/9836838 ")</f>
        <v xml:space="preserve">http://slimages.macys.com/is/image/MCY/9836838 </v>
      </c>
    </row>
    <row r="40" spans="1:12" ht="39.950000000000003" customHeight="1" x14ac:dyDescent="0.25">
      <c r="A40" s="6" t="s">
        <v>1402</v>
      </c>
      <c r="B40" s="7" t="s">
        <v>1403</v>
      </c>
      <c r="C40" s="8">
        <v>1</v>
      </c>
      <c r="D40" s="9">
        <v>29.99</v>
      </c>
      <c r="E40" s="8" t="s">
        <v>1404</v>
      </c>
      <c r="F40" s="7" t="s">
        <v>3840</v>
      </c>
      <c r="G40" s="10" t="s">
        <v>3504</v>
      </c>
      <c r="H40" s="7" t="s">
        <v>3526</v>
      </c>
      <c r="I40" s="7" t="s">
        <v>2543</v>
      </c>
      <c r="J40" s="7" t="s">
        <v>3358</v>
      </c>
      <c r="K40" s="7" t="s">
        <v>2544</v>
      </c>
      <c r="L40" s="11" t="str">
        <f>HYPERLINK("http://slimages.macys.com/is/image/MCY/13057420 ")</f>
        <v xml:space="preserve">http://slimages.macys.com/is/image/MCY/13057420 </v>
      </c>
    </row>
    <row r="41" spans="1:12" ht="39.950000000000003" customHeight="1" x14ac:dyDescent="0.25">
      <c r="A41" s="6" t="s">
        <v>1405</v>
      </c>
      <c r="B41" s="7" t="s">
        <v>1406</v>
      </c>
      <c r="C41" s="8">
        <v>1</v>
      </c>
      <c r="D41" s="9">
        <v>24.99</v>
      </c>
      <c r="E41" s="8" t="s">
        <v>1407</v>
      </c>
      <c r="F41" s="7" t="s">
        <v>3503</v>
      </c>
      <c r="G41" s="10"/>
      <c r="H41" s="7" t="s">
        <v>3418</v>
      </c>
      <c r="I41" s="7" t="s">
        <v>4224</v>
      </c>
      <c r="J41" s="7" t="s">
        <v>3358</v>
      </c>
      <c r="K41" s="7" t="s">
        <v>3521</v>
      </c>
      <c r="L41" s="11" t="str">
        <f>HYPERLINK("http://slimages.macys.com/is/image/MCY/13949182 ")</f>
        <v xml:space="preserve">http://slimages.macys.com/is/image/MCY/13949182 </v>
      </c>
    </row>
    <row r="42" spans="1:12" ht="39.950000000000003" customHeight="1" x14ac:dyDescent="0.25">
      <c r="A42" s="6" t="s">
        <v>1408</v>
      </c>
      <c r="B42" s="7" t="s">
        <v>1409</v>
      </c>
      <c r="C42" s="8">
        <v>1</v>
      </c>
      <c r="D42" s="9">
        <v>59.99</v>
      </c>
      <c r="E42" s="8" t="s">
        <v>1410</v>
      </c>
      <c r="F42" s="7" t="s">
        <v>3363</v>
      </c>
      <c r="G42" s="10"/>
      <c r="H42" s="7" t="s">
        <v>3408</v>
      </c>
      <c r="I42" s="7" t="s">
        <v>3409</v>
      </c>
      <c r="J42" s="7"/>
      <c r="K42" s="7"/>
      <c r="L42" s="11" t="str">
        <f>HYPERLINK("http://slimages.macys.com/is/image/MCY/16633321 ")</f>
        <v xml:space="preserve">http://slimages.macys.com/is/image/MCY/16633321 </v>
      </c>
    </row>
    <row r="43" spans="1:12" ht="39.950000000000003" customHeight="1" x14ac:dyDescent="0.25">
      <c r="A43" s="6" t="s">
        <v>1411</v>
      </c>
      <c r="B43" s="7" t="s">
        <v>1412</v>
      </c>
      <c r="C43" s="8">
        <v>1</v>
      </c>
      <c r="D43" s="9">
        <v>90</v>
      </c>
      <c r="E43" s="8" t="s">
        <v>1413</v>
      </c>
      <c r="F43" s="7" t="s">
        <v>3617</v>
      </c>
      <c r="G43" s="10"/>
      <c r="H43" s="7" t="s">
        <v>3365</v>
      </c>
      <c r="I43" s="7" t="s">
        <v>3855</v>
      </c>
      <c r="J43" s="7" t="s">
        <v>3751</v>
      </c>
      <c r="K43" s="7" t="s">
        <v>1414</v>
      </c>
      <c r="L43" s="11" t="str">
        <f>HYPERLINK("http://images.bloomingdales.com/is/image/BLM/8987298 ")</f>
        <v xml:space="preserve">http://images.bloomingdales.com/is/image/BLM/8987298 </v>
      </c>
    </row>
    <row r="44" spans="1:12" ht="39.950000000000003" customHeight="1" x14ac:dyDescent="0.25">
      <c r="A44" s="6" t="s">
        <v>1415</v>
      </c>
      <c r="B44" s="7" t="s">
        <v>1416</v>
      </c>
      <c r="C44" s="8">
        <v>1</v>
      </c>
      <c r="D44" s="9">
        <v>39.99</v>
      </c>
      <c r="E44" s="8" t="s">
        <v>1417</v>
      </c>
      <c r="F44" s="7" t="s">
        <v>3498</v>
      </c>
      <c r="G44" s="10" t="s">
        <v>3532</v>
      </c>
      <c r="H44" s="7" t="s">
        <v>3482</v>
      </c>
      <c r="I44" s="7" t="s">
        <v>3618</v>
      </c>
      <c r="J44" s="7" t="s">
        <v>3358</v>
      </c>
      <c r="K44" s="7" t="s">
        <v>3619</v>
      </c>
      <c r="L44" s="11" t="str">
        <f>HYPERLINK("http://slimages.macys.com/is/image/MCY/15098992 ")</f>
        <v xml:space="preserve">http://slimages.macys.com/is/image/MCY/15098992 </v>
      </c>
    </row>
    <row r="45" spans="1:12" ht="39.950000000000003" customHeight="1" x14ac:dyDescent="0.25">
      <c r="A45" s="6" t="s">
        <v>1418</v>
      </c>
      <c r="B45" s="7" t="s">
        <v>1419</v>
      </c>
      <c r="C45" s="8">
        <v>1</v>
      </c>
      <c r="D45" s="9">
        <v>24.99</v>
      </c>
      <c r="E45" s="8" t="s">
        <v>1420</v>
      </c>
      <c r="F45" s="7" t="s">
        <v>3632</v>
      </c>
      <c r="G45" s="10"/>
      <c r="H45" s="7" t="s">
        <v>3492</v>
      </c>
      <c r="I45" s="7" t="s">
        <v>3436</v>
      </c>
      <c r="J45" s="7" t="s">
        <v>3358</v>
      </c>
      <c r="K45" s="7"/>
      <c r="L45" s="11" t="str">
        <f>HYPERLINK("http://slimages.macys.com/is/image/MCY/10010840 ")</f>
        <v xml:space="preserve">http://slimages.macys.com/is/image/MCY/10010840 </v>
      </c>
    </row>
    <row r="46" spans="1:12" ht="39.950000000000003" customHeight="1" x14ac:dyDescent="0.25">
      <c r="A46" s="6" t="s">
        <v>1421</v>
      </c>
      <c r="B46" s="7" t="s">
        <v>1422</v>
      </c>
      <c r="C46" s="8">
        <v>1</v>
      </c>
      <c r="D46" s="9">
        <v>24.99</v>
      </c>
      <c r="E46" s="8" t="s">
        <v>1423</v>
      </c>
      <c r="F46" s="7" t="s">
        <v>3498</v>
      </c>
      <c r="G46" s="10"/>
      <c r="H46" s="7" t="s">
        <v>3356</v>
      </c>
      <c r="I46" s="7" t="s">
        <v>3651</v>
      </c>
      <c r="J46" s="7" t="s">
        <v>3358</v>
      </c>
      <c r="K46" s="7" t="s">
        <v>3390</v>
      </c>
      <c r="L46" s="11" t="str">
        <f>HYPERLINK("http://slimages.macys.com/is/image/MCY/2861128 ")</f>
        <v xml:space="preserve">http://slimages.macys.com/is/image/MCY/2861128 </v>
      </c>
    </row>
    <row r="47" spans="1:12" ht="39.950000000000003" customHeight="1" x14ac:dyDescent="0.25">
      <c r="A47" s="6" t="s">
        <v>1424</v>
      </c>
      <c r="B47" s="7" t="s">
        <v>1425</v>
      </c>
      <c r="C47" s="8">
        <v>1</v>
      </c>
      <c r="D47" s="9">
        <v>29.99</v>
      </c>
      <c r="E47" s="8" t="s">
        <v>1426</v>
      </c>
      <c r="F47" s="7" t="s">
        <v>3363</v>
      </c>
      <c r="G47" s="10" t="s">
        <v>1427</v>
      </c>
      <c r="H47" s="7" t="s">
        <v>3431</v>
      </c>
      <c r="I47" s="7" t="s">
        <v>3432</v>
      </c>
      <c r="J47" s="7" t="s">
        <v>3358</v>
      </c>
      <c r="K47" s="7"/>
      <c r="L47" s="11" t="str">
        <f>HYPERLINK("http://slimages.macys.com/is/image/MCY/9356828 ")</f>
        <v xml:space="preserve">http://slimages.macys.com/is/image/MCY/9356828 </v>
      </c>
    </row>
    <row r="48" spans="1:12" ht="39.950000000000003" customHeight="1" x14ac:dyDescent="0.25">
      <c r="A48" s="6" t="s">
        <v>1428</v>
      </c>
      <c r="B48" s="7" t="s">
        <v>1429</v>
      </c>
      <c r="C48" s="8">
        <v>1</v>
      </c>
      <c r="D48" s="9">
        <v>34</v>
      </c>
      <c r="E48" s="8">
        <v>8058</v>
      </c>
      <c r="F48" s="7" t="s">
        <v>3363</v>
      </c>
      <c r="G48" s="10"/>
      <c r="H48" s="7" t="s">
        <v>4165</v>
      </c>
      <c r="I48" s="7" t="s">
        <v>1430</v>
      </c>
      <c r="J48" s="7"/>
      <c r="K48" s="7"/>
      <c r="L48" s="11" t="str">
        <f>HYPERLINK("http://slimages.macys.com/is/image/MCY/1070579 ")</f>
        <v xml:space="preserve">http://slimages.macys.com/is/image/MCY/1070579 </v>
      </c>
    </row>
    <row r="49" spans="1:12" ht="39.950000000000003" customHeight="1" x14ac:dyDescent="0.25">
      <c r="A49" s="6" t="s">
        <v>1431</v>
      </c>
      <c r="B49" s="7" t="s">
        <v>1432</v>
      </c>
      <c r="C49" s="8">
        <v>1</v>
      </c>
      <c r="D49" s="9">
        <v>34.99</v>
      </c>
      <c r="E49" s="8" t="s">
        <v>1433</v>
      </c>
      <c r="F49" s="7" t="s">
        <v>3363</v>
      </c>
      <c r="G49" s="10" t="s">
        <v>3645</v>
      </c>
      <c r="H49" s="7" t="s">
        <v>3471</v>
      </c>
      <c r="I49" s="7" t="s">
        <v>3378</v>
      </c>
      <c r="J49" s="7" t="s">
        <v>3379</v>
      </c>
      <c r="K49" s="7"/>
      <c r="L49" s="11" t="str">
        <f>HYPERLINK("http://slimages.macys.com/is/image/MCY/12384987 ")</f>
        <v xml:space="preserve">http://slimages.macys.com/is/image/MCY/12384987 </v>
      </c>
    </row>
    <row r="50" spans="1:12" ht="39.950000000000003" customHeight="1" x14ac:dyDescent="0.25">
      <c r="A50" s="6" t="s">
        <v>1434</v>
      </c>
      <c r="B50" s="7" t="s">
        <v>1435</v>
      </c>
      <c r="C50" s="8">
        <v>1</v>
      </c>
      <c r="D50" s="9">
        <v>19.989999999999998</v>
      </c>
      <c r="E50" s="8" t="s">
        <v>1436</v>
      </c>
      <c r="F50" s="7" t="s">
        <v>3355</v>
      </c>
      <c r="G50" s="10"/>
      <c r="H50" s="7" t="s">
        <v>3526</v>
      </c>
      <c r="I50" s="7" t="s">
        <v>3527</v>
      </c>
      <c r="J50" s="7"/>
      <c r="K50" s="7"/>
      <c r="L50" s="11" t="str">
        <f>HYPERLINK("http://slimages.macys.com/is/image/MCY/17923602 ")</f>
        <v xml:space="preserve">http://slimages.macys.com/is/image/MCY/17923602 </v>
      </c>
    </row>
    <row r="51" spans="1:12" ht="39.950000000000003" customHeight="1" x14ac:dyDescent="0.25">
      <c r="A51" s="6" t="s">
        <v>1437</v>
      </c>
      <c r="B51" s="7" t="s">
        <v>1438</v>
      </c>
      <c r="C51" s="8">
        <v>1</v>
      </c>
      <c r="D51" s="9">
        <v>12.99</v>
      </c>
      <c r="E51" s="8">
        <v>1010021200</v>
      </c>
      <c r="F51" s="7" t="s">
        <v>3363</v>
      </c>
      <c r="G51" s="10" t="s">
        <v>3532</v>
      </c>
      <c r="H51" s="7" t="s">
        <v>3482</v>
      </c>
      <c r="I51" s="7" t="s">
        <v>3659</v>
      </c>
      <c r="J51" s="7"/>
      <c r="K51" s="7"/>
      <c r="L51" s="11" t="str">
        <f>HYPERLINK("http://slimages.macys.com/is/image/MCY/18819198 ")</f>
        <v xml:space="preserve">http://slimages.macys.com/is/image/MCY/18819198 </v>
      </c>
    </row>
    <row r="52" spans="1:12" ht="39.950000000000003" customHeight="1" x14ac:dyDescent="0.25">
      <c r="A52" s="6" t="s">
        <v>1439</v>
      </c>
      <c r="B52" s="7" t="s">
        <v>1440</v>
      </c>
      <c r="C52" s="8">
        <v>1</v>
      </c>
      <c r="D52" s="9">
        <v>9.99</v>
      </c>
      <c r="E52" s="8">
        <v>48927</v>
      </c>
      <c r="F52" s="7" t="s">
        <v>3363</v>
      </c>
      <c r="G52" s="10"/>
      <c r="H52" s="7" t="s">
        <v>3492</v>
      </c>
      <c r="I52" s="7" t="s">
        <v>3636</v>
      </c>
      <c r="J52" s="7" t="s">
        <v>3358</v>
      </c>
      <c r="K52" s="7"/>
      <c r="L52" s="11" t="str">
        <f>HYPERLINK("http://slimages.macys.com/is/image/MCY/9056390 ")</f>
        <v xml:space="preserve">http://slimages.macys.com/is/image/MCY/9056390 </v>
      </c>
    </row>
    <row r="53" spans="1:12" ht="39.950000000000003" customHeight="1" x14ac:dyDescent="0.25">
      <c r="A53" s="6" t="s">
        <v>1441</v>
      </c>
      <c r="B53" s="7" t="s">
        <v>1442</v>
      </c>
      <c r="C53" s="8">
        <v>1</v>
      </c>
      <c r="D53" s="9">
        <v>11.99</v>
      </c>
      <c r="E53" s="8">
        <v>25610</v>
      </c>
      <c r="F53" s="7" t="s">
        <v>3363</v>
      </c>
      <c r="G53" s="10" t="s">
        <v>1443</v>
      </c>
      <c r="H53" s="7" t="s">
        <v>3492</v>
      </c>
      <c r="I53" s="7" t="s">
        <v>3636</v>
      </c>
      <c r="J53" s="7" t="s">
        <v>3358</v>
      </c>
      <c r="K53" s="7"/>
      <c r="L53" s="11" t="str">
        <f>HYPERLINK("http://slimages.macys.com/is/image/MCY/9215953 ")</f>
        <v xml:space="preserve">http://slimages.macys.com/is/image/MCY/9215953 </v>
      </c>
    </row>
    <row r="54" spans="1:12" ht="39.950000000000003" customHeight="1" x14ac:dyDescent="0.25">
      <c r="A54" s="6" t="s">
        <v>1444</v>
      </c>
      <c r="B54" s="7" t="s">
        <v>1445</v>
      </c>
      <c r="C54" s="8">
        <v>1</v>
      </c>
      <c r="D54" s="9">
        <v>12.99</v>
      </c>
      <c r="E54" s="8">
        <v>1620176</v>
      </c>
      <c r="F54" s="7" t="s">
        <v>3363</v>
      </c>
      <c r="G54" s="10" t="s">
        <v>3645</v>
      </c>
      <c r="H54" s="7" t="s">
        <v>3388</v>
      </c>
      <c r="I54" s="7" t="s">
        <v>1446</v>
      </c>
      <c r="J54" s="7"/>
      <c r="K54" s="7"/>
      <c r="L54" s="11" t="str">
        <f>HYPERLINK("http://slimages.macys.com/is/image/MCY/3235400 ")</f>
        <v xml:space="preserve">http://slimages.macys.com/is/image/MCY/3235400 </v>
      </c>
    </row>
    <row r="55" spans="1:12" ht="39.950000000000003" customHeight="1" x14ac:dyDescent="0.25">
      <c r="A55" s="6" t="s">
        <v>1447</v>
      </c>
      <c r="B55" s="7" t="s">
        <v>1448</v>
      </c>
      <c r="C55" s="8">
        <v>1</v>
      </c>
      <c r="D55" s="9">
        <v>99.99</v>
      </c>
      <c r="E55" s="8" t="s">
        <v>1449</v>
      </c>
      <c r="F55" s="7" t="s">
        <v>3371</v>
      </c>
      <c r="G55" s="10"/>
      <c r="H55" s="7" t="s">
        <v>3492</v>
      </c>
      <c r="I55" s="7" t="s">
        <v>1450</v>
      </c>
      <c r="J55" s="7"/>
      <c r="K55" s="7"/>
      <c r="L55" s="11"/>
    </row>
    <row r="56" spans="1:12" ht="39.950000000000003" customHeight="1" x14ac:dyDescent="0.25">
      <c r="A56" s="6" t="s">
        <v>1451</v>
      </c>
      <c r="B56" s="7" t="s">
        <v>1452</v>
      </c>
      <c r="C56" s="8">
        <v>1</v>
      </c>
      <c r="D56" s="9">
        <v>119</v>
      </c>
      <c r="E56" s="8" t="s">
        <v>1453</v>
      </c>
      <c r="F56" s="7"/>
      <c r="G56" s="10"/>
      <c r="H56" s="7" t="s">
        <v>3412</v>
      </c>
      <c r="I56" s="7" t="s">
        <v>3969</v>
      </c>
      <c r="J56" s="7"/>
      <c r="K56" s="7"/>
      <c r="L56" s="11"/>
    </row>
    <row r="57" spans="1:12" ht="39.950000000000003" customHeight="1" x14ac:dyDescent="0.25">
      <c r="A57" s="6" t="s">
        <v>2597</v>
      </c>
      <c r="B57" s="7" t="s">
        <v>2598</v>
      </c>
      <c r="C57" s="8">
        <v>1</v>
      </c>
      <c r="D57" s="9">
        <v>82.5</v>
      </c>
      <c r="E57" s="8"/>
      <c r="F57" s="7" t="s">
        <v>3542</v>
      </c>
      <c r="G57" s="10" t="s">
        <v>3504</v>
      </c>
      <c r="H57" s="7" t="s">
        <v>3543</v>
      </c>
      <c r="I57" s="7" t="s">
        <v>3544</v>
      </c>
      <c r="J57" s="7"/>
      <c r="K57" s="7"/>
      <c r="L57" s="11"/>
    </row>
    <row r="58" spans="1:12" ht="39.950000000000003" customHeight="1" x14ac:dyDescent="0.25">
      <c r="A58" s="6" t="s">
        <v>3540</v>
      </c>
      <c r="B58" s="7" t="s">
        <v>3541</v>
      </c>
      <c r="C58" s="8">
        <v>7</v>
      </c>
      <c r="D58" s="9">
        <v>280</v>
      </c>
      <c r="E58" s="8"/>
      <c r="F58" s="7" t="s">
        <v>3542</v>
      </c>
      <c r="G58" s="10" t="s">
        <v>3504</v>
      </c>
      <c r="H58" s="7" t="s">
        <v>3543</v>
      </c>
      <c r="I58" s="7" t="s">
        <v>3544</v>
      </c>
      <c r="J58" s="7"/>
      <c r="K58" s="7"/>
      <c r="L58" s="11"/>
    </row>
    <row r="59" spans="1:12" ht="39.950000000000003" customHeight="1" x14ac:dyDescent="0.25">
      <c r="A59" s="6" t="s">
        <v>1454</v>
      </c>
      <c r="B59" s="7" t="s">
        <v>1455</v>
      </c>
      <c r="C59" s="8">
        <v>1</v>
      </c>
      <c r="D59" s="9">
        <v>159.99</v>
      </c>
      <c r="E59" s="8" t="s">
        <v>1456</v>
      </c>
      <c r="F59" s="7" t="s">
        <v>3384</v>
      </c>
      <c r="G59" s="10" t="s">
        <v>3788</v>
      </c>
      <c r="H59" s="7" t="s">
        <v>3658</v>
      </c>
      <c r="I59" s="7" t="s">
        <v>3905</v>
      </c>
      <c r="J59" s="7"/>
      <c r="K59" s="7"/>
      <c r="L59" s="11"/>
    </row>
    <row r="60" spans="1:12" ht="39.950000000000003" customHeight="1" x14ac:dyDescent="0.25">
      <c r="A60" s="6" t="s">
        <v>1457</v>
      </c>
      <c r="B60" s="7" t="s">
        <v>1458</v>
      </c>
      <c r="C60" s="8">
        <v>1</v>
      </c>
      <c r="D60" s="9">
        <v>19.989999999999998</v>
      </c>
      <c r="E60" s="8" t="s">
        <v>1459</v>
      </c>
      <c r="F60" s="7" t="s">
        <v>4219</v>
      </c>
      <c r="G60" s="10"/>
      <c r="H60" s="7" t="s">
        <v>3408</v>
      </c>
      <c r="I60" s="7" t="s">
        <v>4354</v>
      </c>
      <c r="J60" s="7"/>
      <c r="K60" s="7"/>
      <c r="L60" s="11"/>
    </row>
  </sheetData>
  <phoneticPr fontId="0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1460</v>
      </c>
      <c r="B2" s="7" t="s">
        <v>1461</v>
      </c>
      <c r="C2" s="8">
        <v>1</v>
      </c>
      <c r="D2" s="9">
        <v>399.99</v>
      </c>
      <c r="E2" s="8" t="s">
        <v>1462</v>
      </c>
      <c r="F2" s="7" t="s">
        <v>3363</v>
      </c>
      <c r="G2" s="10"/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HYPERLINK("http://slimages.macys.com/is/image/MCY/3974565 ")</f>
        <v xml:space="preserve">http://slimages.macys.com/is/image/MCY/3974565 </v>
      </c>
    </row>
    <row r="3" spans="1:12" ht="39.950000000000003" customHeight="1" x14ac:dyDescent="0.25">
      <c r="A3" s="6" t="s">
        <v>1463</v>
      </c>
      <c r="B3" s="7" t="s">
        <v>1464</v>
      </c>
      <c r="C3" s="8">
        <v>1</v>
      </c>
      <c r="D3" s="9">
        <v>499.99</v>
      </c>
      <c r="E3" s="8" t="s">
        <v>1465</v>
      </c>
      <c r="F3" s="7" t="s">
        <v>3525</v>
      </c>
      <c r="G3" s="10"/>
      <c r="H3" s="7" t="s">
        <v>3397</v>
      </c>
      <c r="I3" s="7" t="s">
        <v>2401</v>
      </c>
      <c r="J3" s="7" t="s">
        <v>3358</v>
      </c>
      <c r="K3" s="7" t="s">
        <v>1466</v>
      </c>
      <c r="L3" s="11" t="str">
        <f>HYPERLINK("http://slimages.macys.com/is/image/MCY/2645663 ")</f>
        <v xml:space="preserve">http://slimages.macys.com/is/image/MCY/2645663 </v>
      </c>
    </row>
    <row r="4" spans="1:12" ht="39.950000000000003" customHeight="1" x14ac:dyDescent="0.25">
      <c r="A4" s="6" t="s">
        <v>1467</v>
      </c>
      <c r="B4" s="7" t="s">
        <v>1468</v>
      </c>
      <c r="C4" s="8">
        <v>1</v>
      </c>
      <c r="D4" s="9">
        <v>188.99</v>
      </c>
      <c r="E4" s="8">
        <v>81061</v>
      </c>
      <c r="F4" s="7" t="s">
        <v>3503</v>
      </c>
      <c r="G4" s="10"/>
      <c r="H4" s="7" t="s">
        <v>3388</v>
      </c>
      <c r="I4" s="7" t="s">
        <v>3389</v>
      </c>
      <c r="J4" s="7" t="s">
        <v>3358</v>
      </c>
      <c r="K4" s="7" t="s">
        <v>1469</v>
      </c>
      <c r="L4" s="11" t="str">
        <f>HYPERLINK("http://slimages.macys.com/is/image/MCY/10055990 ")</f>
        <v xml:space="preserve">http://slimages.macys.com/is/image/MCY/10055990 </v>
      </c>
    </row>
    <row r="5" spans="1:12" ht="39.950000000000003" customHeight="1" x14ac:dyDescent="0.25">
      <c r="A5" s="6" t="s">
        <v>1470</v>
      </c>
      <c r="B5" s="7" t="s">
        <v>1471</v>
      </c>
      <c r="C5" s="8">
        <v>1</v>
      </c>
      <c r="D5" s="9">
        <v>475</v>
      </c>
      <c r="E5" s="8">
        <v>99067</v>
      </c>
      <c r="F5" s="7" t="s">
        <v>3363</v>
      </c>
      <c r="G5" s="10" t="s">
        <v>3606</v>
      </c>
      <c r="H5" s="7" t="s">
        <v>3377</v>
      </c>
      <c r="I5" s="7" t="s">
        <v>1472</v>
      </c>
      <c r="J5" s="7" t="s">
        <v>3379</v>
      </c>
      <c r="K5" s="7" t="s">
        <v>1473</v>
      </c>
      <c r="L5" s="11" t="str">
        <f>HYPERLINK("http://images.bloomingdales.com/is/image/BLM/10484919 ")</f>
        <v xml:space="preserve">http://images.bloomingdales.com/is/image/BLM/10484919 </v>
      </c>
    </row>
    <row r="6" spans="1:12" ht="39.950000000000003" customHeight="1" x14ac:dyDescent="0.25">
      <c r="A6" s="6" t="s">
        <v>3360</v>
      </c>
      <c r="B6" s="7" t="s">
        <v>3361</v>
      </c>
      <c r="C6" s="8">
        <v>1</v>
      </c>
      <c r="D6" s="9">
        <v>299.99</v>
      </c>
      <c r="E6" s="8" t="s">
        <v>3362</v>
      </c>
      <c r="F6" s="7" t="s">
        <v>3363</v>
      </c>
      <c r="G6" s="10" t="s">
        <v>3364</v>
      </c>
      <c r="H6" s="7" t="s">
        <v>3365</v>
      </c>
      <c r="I6" s="7" t="s">
        <v>3366</v>
      </c>
      <c r="J6" s="7" t="s">
        <v>3358</v>
      </c>
      <c r="K6" s="7" t="s">
        <v>3367</v>
      </c>
      <c r="L6" s="11" t="str">
        <f>HYPERLINK("http://slimages.macys.com/is/image/MCY/11953123 ")</f>
        <v xml:space="preserve">http://slimages.macys.com/is/image/MCY/11953123 </v>
      </c>
    </row>
    <row r="7" spans="1:12" ht="39.950000000000003" customHeight="1" x14ac:dyDescent="0.25">
      <c r="A7" s="6" t="s">
        <v>1474</v>
      </c>
      <c r="B7" s="7" t="s">
        <v>1475</v>
      </c>
      <c r="C7" s="8">
        <v>1</v>
      </c>
      <c r="D7" s="9">
        <v>279.99</v>
      </c>
      <c r="E7" s="8" t="s">
        <v>1476</v>
      </c>
      <c r="F7" s="7" t="s">
        <v>3363</v>
      </c>
      <c r="G7" s="10"/>
      <c r="H7" s="7" t="s">
        <v>3365</v>
      </c>
      <c r="I7" s="7" t="s">
        <v>2522</v>
      </c>
      <c r="J7" s="7" t="s">
        <v>3358</v>
      </c>
      <c r="K7" s="7" t="s">
        <v>3582</v>
      </c>
      <c r="L7" s="11" t="str">
        <f>HYPERLINK("http://slimages.macys.com/is/image/MCY/14788488 ")</f>
        <v xml:space="preserve">http://slimages.macys.com/is/image/MCY/14788488 </v>
      </c>
    </row>
    <row r="8" spans="1:12" ht="39.950000000000003" customHeight="1" x14ac:dyDescent="0.25">
      <c r="A8" s="6" t="s">
        <v>1477</v>
      </c>
      <c r="B8" s="7" t="s">
        <v>1478</v>
      </c>
      <c r="C8" s="8">
        <v>1</v>
      </c>
      <c r="D8" s="9">
        <v>169.99</v>
      </c>
      <c r="E8" s="8" t="s">
        <v>1479</v>
      </c>
      <c r="F8" s="7"/>
      <c r="G8" s="10"/>
      <c r="H8" s="7" t="s">
        <v>3397</v>
      </c>
      <c r="I8" s="7" t="s">
        <v>3590</v>
      </c>
      <c r="J8" s="7" t="s">
        <v>3358</v>
      </c>
      <c r="K8" s="7" t="s">
        <v>1480</v>
      </c>
      <c r="L8" s="11" t="str">
        <f>HYPERLINK("http://slimages.macys.com/is/image/MCY/14376598 ")</f>
        <v xml:space="preserve">http://slimages.macys.com/is/image/MCY/14376598 </v>
      </c>
    </row>
    <row r="9" spans="1:12" ht="39.950000000000003" customHeight="1" x14ac:dyDescent="0.25">
      <c r="A9" s="6" t="s">
        <v>1481</v>
      </c>
      <c r="B9" s="7" t="s">
        <v>1482</v>
      </c>
      <c r="C9" s="8">
        <v>1</v>
      </c>
      <c r="D9" s="9">
        <v>249.99</v>
      </c>
      <c r="E9" s="8" t="s">
        <v>1483</v>
      </c>
      <c r="F9" s="7" t="s">
        <v>3384</v>
      </c>
      <c r="G9" s="10"/>
      <c r="H9" s="7" t="s">
        <v>3412</v>
      </c>
      <c r="I9" s="7" t="s">
        <v>3436</v>
      </c>
      <c r="J9" s="7" t="s">
        <v>3358</v>
      </c>
      <c r="K9" s="7" t="s">
        <v>1484</v>
      </c>
      <c r="L9" s="11" t="str">
        <f>HYPERLINK("http://slimages.macys.com/is/image/MCY/12491071 ")</f>
        <v xml:space="preserve">http://slimages.macys.com/is/image/MCY/12491071 </v>
      </c>
    </row>
    <row r="10" spans="1:12" ht="39.950000000000003" customHeight="1" x14ac:dyDescent="0.25">
      <c r="A10" s="6" t="s">
        <v>1485</v>
      </c>
      <c r="B10" s="7" t="s">
        <v>1486</v>
      </c>
      <c r="C10" s="8">
        <v>1</v>
      </c>
      <c r="D10" s="9">
        <v>183.99</v>
      </c>
      <c r="E10" s="8" t="s">
        <v>1487</v>
      </c>
      <c r="F10" s="7" t="s">
        <v>3384</v>
      </c>
      <c r="G10" s="10"/>
      <c r="H10" s="7" t="s">
        <v>3397</v>
      </c>
      <c r="I10" s="7" t="s">
        <v>4045</v>
      </c>
      <c r="J10" s="7" t="s">
        <v>3358</v>
      </c>
      <c r="K10" s="7" t="s">
        <v>1488</v>
      </c>
      <c r="L10" s="11" t="str">
        <f>HYPERLINK("http://slimages.macys.com/is/image/MCY/10130654 ")</f>
        <v xml:space="preserve">http://slimages.macys.com/is/image/MCY/10130654 </v>
      </c>
    </row>
    <row r="11" spans="1:12" ht="39.950000000000003" customHeight="1" x14ac:dyDescent="0.25">
      <c r="A11" s="6" t="s">
        <v>1489</v>
      </c>
      <c r="B11" s="7" t="s">
        <v>1490</v>
      </c>
      <c r="C11" s="8">
        <v>1</v>
      </c>
      <c r="D11" s="9">
        <v>199.99</v>
      </c>
      <c r="E11" s="8" t="s">
        <v>1491</v>
      </c>
      <c r="F11" s="7" t="s">
        <v>3355</v>
      </c>
      <c r="G11" s="10"/>
      <c r="H11" s="7" t="s">
        <v>3365</v>
      </c>
      <c r="I11" s="7" t="s">
        <v>2522</v>
      </c>
      <c r="J11" s="7"/>
      <c r="K11" s="7"/>
      <c r="L11" s="11" t="str">
        <f>HYPERLINK("http://slimages.macys.com/is/image/MCY/16688466 ")</f>
        <v xml:space="preserve">http://slimages.macys.com/is/image/MCY/16688466 </v>
      </c>
    </row>
    <row r="12" spans="1:12" ht="39.950000000000003" customHeight="1" x14ac:dyDescent="0.25">
      <c r="A12" s="6" t="s">
        <v>1492</v>
      </c>
      <c r="B12" s="7" t="s">
        <v>1493</v>
      </c>
      <c r="C12" s="8">
        <v>1</v>
      </c>
      <c r="D12" s="9">
        <v>139.99</v>
      </c>
      <c r="E12" s="8" t="s">
        <v>1494</v>
      </c>
      <c r="F12" s="7" t="s">
        <v>3498</v>
      </c>
      <c r="G12" s="10" t="s">
        <v>2497</v>
      </c>
      <c r="H12" s="7" t="s">
        <v>3365</v>
      </c>
      <c r="I12" s="7" t="s">
        <v>3558</v>
      </c>
      <c r="J12" s="7" t="s">
        <v>3358</v>
      </c>
      <c r="K12" s="7"/>
      <c r="L12" s="11" t="str">
        <f>HYPERLINK("http://slimages.macys.com/is/image/MCY/9698682 ")</f>
        <v xml:space="preserve">http://slimages.macys.com/is/image/MCY/9698682 </v>
      </c>
    </row>
    <row r="13" spans="1:12" ht="39.950000000000003" customHeight="1" x14ac:dyDescent="0.25">
      <c r="A13" s="6" t="s">
        <v>1495</v>
      </c>
      <c r="B13" s="7" t="s">
        <v>1496</v>
      </c>
      <c r="C13" s="8">
        <v>1</v>
      </c>
      <c r="D13" s="9">
        <v>82.99</v>
      </c>
      <c r="E13" s="8" t="s">
        <v>1497</v>
      </c>
      <c r="F13" s="7" t="s">
        <v>3531</v>
      </c>
      <c r="G13" s="10"/>
      <c r="H13" s="7" t="s">
        <v>3515</v>
      </c>
      <c r="I13" s="7" t="s">
        <v>1498</v>
      </c>
      <c r="J13" s="7" t="s">
        <v>3358</v>
      </c>
      <c r="K13" s="7" t="s">
        <v>1499</v>
      </c>
      <c r="L13" s="11" t="str">
        <f>HYPERLINK("http://slimages.macys.com/is/image/MCY/12925705 ")</f>
        <v xml:space="preserve">http://slimages.macys.com/is/image/MCY/12925705 </v>
      </c>
    </row>
    <row r="14" spans="1:12" ht="39.950000000000003" customHeight="1" x14ac:dyDescent="0.25">
      <c r="A14" s="6" t="s">
        <v>1500</v>
      </c>
      <c r="B14" s="7" t="s">
        <v>1501</v>
      </c>
      <c r="C14" s="8">
        <v>1</v>
      </c>
      <c r="D14" s="9">
        <v>99.99</v>
      </c>
      <c r="E14" s="8" t="s">
        <v>1502</v>
      </c>
      <c r="F14" s="7" t="s">
        <v>3531</v>
      </c>
      <c r="G14" s="10"/>
      <c r="H14" s="7" t="s">
        <v>3601</v>
      </c>
      <c r="I14" s="7" t="s">
        <v>3602</v>
      </c>
      <c r="J14" s="7" t="s">
        <v>3358</v>
      </c>
      <c r="K14" s="7"/>
      <c r="L14" s="11" t="str">
        <f>HYPERLINK("http://slimages.macys.com/is/image/MCY/11534834 ")</f>
        <v xml:space="preserve">http://slimages.macys.com/is/image/MCY/11534834 </v>
      </c>
    </row>
    <row r="15" spans="1:12" ht="39.950000000000003" customHeight="1" x14ac:dyDescent="0.25">
      <c r="A15" s="6" t="s">
        <v>1503</v>
      </c>
      <c r="B15" s="7" t="s">
        <v>1504</v>
      </c>
      <c r="C15" s="8">
        <v>1</v>
      </c>
      <c r="D15" s="9">
        <v>129.99</v>
      </c>
      <c r="E15" s="8" t="s">
        <v>1505</v>
      </c>
      <c r="F15" s="7" t="s">
        <v>1506</v>
      </c>
      <c r="G15" s="10"/>
      <c r="H15" s="7" t="s">
        <v>3601</v>
      </c>
      <c r="I15" s="7" t="s">
        <v>3602</v>
      </c>
      <c r="J15" s="7" t="s">
        <v>3358</v>
      </c>
      <c r="K15" s="7" t="s">
        <v>3582</v>
      </c>
      <c r="L15" s="11" t="str">
        <f>HYPERLINK("http://slimages.macys.com/is/image/MCY/11607139 ")</f>
        <v xml:space="preserve">http://slimages.macys.com/is/image/MCY/11607139 </v>
      </c>
    </row>
    <row r="16" spans="1:12" ht="39.950000000000003" customHeight="1" x14ac:dyDescent="0.25">
      <c r="A16" s="6" t="s">
        <v>1507</v>
      </c>
      <c r="B16" s="7" t="s">
        <v>1508</v>
      </c>
      <c r="C16" s="8">
        <v>1</v>
      </c>
      <c r="D16" s="9">
        <v>124</v>
      </c>
      <c r="E16" s="8" t="s">
        <v>1509</v>
      </c>
      <c r="F16" s="7" t="s">
        <v>3396</v>
      </c>
      <c r="G16" s="10" t="s">
        <v>1510</v>
      </c>
      <c r="H16" s="7" t="s">
        <v>3372</v>
      </c>
      <c r="I16" s="7" t="s">
        <v>1511</v>
      </c>
      <c r="J16" s="7" t="s">
        <v>3379</v>
      </c>
      <c r="K16" s="7" t="s">
        <v>3582</v>
      </c>
      <c r="L16" s="11" t="str">
        <f>HYPERLINK("http://images.bloomingdales.com/is/image/BLM/9416643 ")</f>
        <v xml:space="preserve">http://images.bloomingdales.com/is/image/BLM/9416643 </v>
      </c>
    </row>
    <row r="17" spans="1:12" ht="39.950000000000003" customHeight="1" x14ac:dyDescent="0.25">
      <c r="A17" s="6" t="s">
        <v>1512</v>
      </c>
      <c r="B17" s="7" t="s">
        <v>1513</v>
      </c>
      <c r="C17" s="8">
        <v>1</v>
      </c>
      <c r="D17" s="9">
        <v>99.99</v>
      </c>
      <c r="E17" s="8" t="s">
        <v>1514</v>
      </c>
      <c r="F17" s="7" t="s">
        <v>3481</v>
      </c>
      <c r="G17" s="10"/>
      <c r="H17" s="7" t="s">
        <v>3601</v>
      </c>
      <c r="I17" s="7" t="s">
        <v>3602</v>
      </c>
      <c r="J17" s="7" t="s">
        <v>3358</v>
      </c>
      <c r="K17" s="7" t="s">
        <v>4282</v>
      </c>
      <c r="L17" s="11" t="str">
        <f>HYPERLINK("http://slimages.macys.com/is/image/MCY/11607139 ")</f>
        <v xml:space="preserve">http://slimages.macys.com/is/image/MCY/11607139 </v>
      </c>
    </row>
    <row r="18" spans="1:12" ht="39.950000000000003" customHeight="1" x14ac:dyDescent="0.25">
      <c r="A18" s="6" t="s">
        <v>1515</v>
      </c>
      <c r="B18" s="7" t="s">
        <v>1516</v>
      </c>
      <c r="C18" s="8">
        <v>1</v>
      </c>
      <c r="D18" s="9">
        <v>119.99</v>
      </c>
      <c r="E18" s="8" t="s">
        <v>1517</v>
      </c>
      <c r="F18" s="7" t="s">
        <v>3525</v>
      </c>
      <c r="G18" s="10"/>
      <c r="H18" s="7" t="s">
        <v>3408</v>
      </c>
      <c r="I18" s="7" t="s">
        <v>3409</v>
      </c>
      <c r="J18" s="7"/>
      <c r="K18" s="7"/>
      <c r="L18" s="11" t="str">
        <f>HYPERLINK("http://slimages.macys.com/is/image/MCY/16633327 ")</f>
        <v xml:space="preserve">http://slimages.macys.com/is/image/MCY/16633327 </v>
      </c>
    </row>
    <row r="19" spans="1:12" ht="39.950000000000003" customHeight="1" x14ac:dyDescent="0.25">
      <c r="A19" s="6" t="s">
        <v>1518</v>
      </c>
      <c r="B19" s="7" t="s">
        <v>1519</v>
      </c>
      <c r="C19" s="8">
        <v>1</v>
      </c>
      <c r="D19" s="9">
        <v>59.99</v>
      </c>
      <c r="E19" s="8" t="s">
        <v>1520</v>
      </c>
      <c r="F19" s="7" t="s">
        <v>3600</v>
      </c>
      <c r="G19" s="10"/>
      <c r="H19" s="7" t="s">
        <v>3526</v>
      </c>
      <c r="I19" s="7" t="s">
        <v>3865</v>
      </c>
      <c r="J19" s="7"/>
      <c r="K19" s="7"/>
      <c r="L19" s="11" t="str">
        <f>HYPERLINK("http://slimages.macys.com/is/image/MCY/17822517 ")</f>
        <v xml:space="preserve">http://slimages.macys.com/is/image/MCY/17822517 </v>
      </c>
    </row>
    <row r="20" spans="1:12" ht="39.950000000000003" customHeight="1" x14ac:dyDescent="0.25">
      <c r="A20" s="6" t="s">
        <v>1521</v>
      </c>
      <c r="B20" s="7" t="s">
        <v>1522</v>
      </c>
      <c r="C20" s="8">
        <v>1</v>
      </c>
      <c r="D20" s="9">
        <v>99.99</v>
      </c>
      <c r="E20" s="8" t="s">
        <v>1523</v>
      </c>
      <c r="F20" s="7" t="s">
        <v>3921</v>
      </c>
      <c r="G20" s="10"/>
      <c r="H20" s="7" t="s">
        <v>3408</v>
      </c>
      <c r="I20" s="7" t="s">
        <v>3409</v>
      </c>
      <c r="J20" s="7"/>
      <c r="K20" s="7"/>
      <c r="L20" s="11" t="str">
        <f>HYPERLINK("http://slimages.macys.com/is/image/MCY/17450404 ")</f>
        <v xml:space="preserve">http://slimages.macys.com/is/image/MCY/17450404 </v>
      </c>
    </row>
    <row r="21" spans="1:12" ht="39.950000000000003" customHeight="1" x14ac:dyDescent="0.25">
      <c r="A21" s="6" t="s">
        <v>1524</v>
      </c>
      <c r="B21" s="7" t="s">
        <v>1525</v>
      </c>
      <c r="C21" s="8">
        <v>1</v>
      </c>
      <c r="D21" s="9">
        <v>86.99</v>
      </c>
      <c r="E21" s="8" t="s">
        <v>1526</v>
      </c>
      <c r="F21" s="7" t="s">
        <v>3371</v>
      </c>
      <c r="G21" s="10"/>
      <c r="H21" s="7" t="s">
        <v>3492</v>
      </c>
      <c r="I21" s="7" t="s">
        <v>2863</v>
      </c>
      <c r="J21" s="7" t="s">
        <v>3358</v>
      </c>
      <c r="K21" s="7" t="s">
        <v>1527</v>
      </c>
      <c r="L21" s="11" t="str">
        <f>HYPERLINK("http://slimages.macys.com/is/image/MCY/13762340 ")</f>
        <v xml:space="preserve">http://slimages.macys.com/is/image/MCY/13762340 </v>
      </c>
    </row>
    <row r="22" spans="1:12" ht="39.950000000000003" customHeight="1" x14ac:dyDescent="0.25">
      <c r="A22" s="6" t="s">
        <v>1528</v>
      </c>
      <c r="B22" s="7" t="s">
        <v>1529</v>
      </c>
      <c r="C22" s="8">
        <v>1</v>
      </c>
      <c r="D22" s="9">
        <v>69.989999999999995</v>
      </c>
      <c r="E22" s="8" t="s">
        <v>1530</v>
      </c>
      <c r="F22" s="7" t="s">
        <v>3363</v>
      </c>
      <c r="G22" s="10" t="s">
        <v>3645</v>
      </c>
      <c r="H22" s="7" t="s">
        <v>3388</v>
      </c>
      <c r="I22" s="7" t="s">
        <v>3928</v>
      </c>
      <c r="J22" s="7" t="s">
        <v>3608</v>
      </c>
      <c r="K22" s="7" t="s">
        <v>1531</v>
      </c>
      <c r="L22" s="11" t="str">
        <f>HYPERLINK("http://slimages.macys.com/is/image/MCY/13467258 ")</f>
        <v xml:space="preserve">http://slimages.macys.com/is/image/MCY/13467258 </v>
      </c>
    </row>
    <row r="23" spans="1:12" ht="39.950000000000003" customHeight="1" x14ac:dyDescent="0.25">
      <c r="A23" s="6" t="s">
        <v>1532</v>
      </c>
      <c r="B23" s="7" t="s">
        <v>1533</v>
      </c>
      <c r="C23" s="8">
        <v>1</v>
      </c>
      <c r="D23" s="9">
        <v>75.989999999999995</v>
      </c>
      <c r="E23" s="8" t="s">
        <v>1534</v>
      </c>
      <c r="F23" s="7" t="s">
        <v>3363</v>
      </c>
      <c r="G23" s="10"/>
      <c r="H23" s="7" t="s">
        <v>3492</v>
      </c>
      <c r="I23" s="7" t="s">
        <v>3841</v>
      </c>
      <c r="J23" s="7" t="s">
        <v>3358</v>
      </c>
      <c r="K23" s="7" t="s">
        <v>1535</v>
      </c>
      <c r="L23" s="11" t="str">
        <f>HYPERLINK("http://slimages.macys.com/is/image/MCY/11704443 ")</f>
        <v xml:space="preserve">http://slimages.macys.com/is/image/MCY/11704443 </v>
      </c>
    </row>
    <row r="24" spans="1:12" ht="39.950000000000003" customHeight="1" x14ac:dyDescent="0.25">
      <c r="A24" s="6" t="s">
        <v>1536</v>
      </c>
      <c r="B24" s="7" t="s">
        <v>1537</v>
      </c>
      <c r="C24" s="8">
        <v>1</v>
      </c>
      <c r="D24" s="9">
        <v>59.99</v>
      </c>
      <c r="E24" s="8">
        <v>82271</v>
      </c>
      <c r="F24" s="7" t="s">
        <v>3407</v>
      </c>
      <c r="G24" s="10"/>
      <c r="H24" s="7" t="s">
        <v>3412</v>
      </c>
      <c r="I24" s="7" t="s">
        <v>3595</v>
      </c>
      <c r="J24" s="7"/>
      <c r="K24" s="7"/>
      <c r="L24" s="11" t="str">
        <f>HYPERLINK("http://slimages.macys.com/is/image/MCY/17866754 ")</f>
        <v xml:space="preserve">http://slimages.macys.com/is/image/MCY/17866754 </v>
      </c>
    </row>
    <row r="25" spans="1:12" ht="39.950000000000003" customHeight="1" x14ac:dyDescent="0.25">
      <c r="A25" s="6" t="s">
        <v>1538</v>
      </c>
      <c r="B25" s="7" t="s">
        <v>1539</v>
      </c>
      <c r="C25" s="8">
        <v>1</v>
      </c>
      <c r="D25" s="9">
        <v>54.99</v>
      </c>
      <c r="E25" s="8" t="s">
        <v>1540</v>
      </c>
      <c r="F25" s="7" t="s">
        <v>3781</v>
      </c>
      <c r="G25" s="10" t="s">
        <v>1541</v>
      </c>
      <c r="H25" s="7" t="s">
        <v>3372</v>
      </c>
      <c r="I25" s="7" t="s">
        <v>1542</v>
      </c>
      <c r="J25" s="7" t="s">
        <v>3358</v>
      </c>
      <c r="K25" s="7" t="s">
        <v>1543</v>
      </c>
      <c r="L25" s="11" t="str">
        <f>HYPERLINK("http://slimages.macys.com/is/image/MCY/13291105 ")</f>
        <v xml:space="preserve">http://slimages.macys.com/is/image/MCY/13291105 </v>
      </c>
    </row>
    <row r="26" spans="1:12" ht="39.950000000000003" customHeight="1" x14ac:dyDescent="0.25">
      <c r="A26" s="6" t="s">
        <v>1544</v>
      </c>
      <c r="B26" s="7" t="s">
        <v>1545</v>
      </c>
      <c r="C26" s="8">
        <v>1</v>
      </c>
      <c r="D26" s="9">
        <v>59.99</v>
      </c>
      <c r="E26" s="8" t="s">
        <v>1546</v>
      </c>
      <c r="F26" s="7" t="s">
        <v>3498</v>
      </c>
      <c r="G26" s="10"/>
      <c r="H26" s="7" t="s">
        <v>3492</v>
      </c>
      <c r="I26" s="7" t="s">
        <v>3499</v>
      </c>
      <c r="J26" s="7"/>
      <c r="K26" s="7"/>
      <c r="L26" s="11" t="str">
        <f>HYPERLINK("http://slimages.macys.com/is/image/MCY/17806527 ")</f>
        <v xml:space="preserve">http://slimages.macys.com/is/image/MCY/17806527 </v>
      </c>
    </row>
    <row r="27" spans="1:12" ht="39.950000000000003" customHeight="1" x14ac:dyDescent="0.25">
      <c r="A27" s="6" t="s">
        <v>1547</v>
      </c>
      <c r="B27" s="7" t="s">
        <v>1548</v>
      </c>
      <c r="C27" s="8">
        <v>1</v>
      </c>
      <c r="D27" s="9">
        <v>59.99</v>
      </c>
      <c r="E27" s="8">
        <v>21478122</v>
      </c>
      <c r="F27" s="7"/>
      <c r="G27" s="10"/>
      <c r="H27" s="7" t="s">
        <v>3412</v>
      </c>
      <c r="I27" s="7" t="s">
        <v>3413</v>
      </c>
      <c r="J27" s="7" t="s">
        <v>3358</v>
      </c>
      <c r="K27" s="7" t="s">
        <v>3390</v>
      </c>
      <c r="L27" s="11" t="str">
        <f>HYPERLINK("http://slimages.macys.com/is/image/MCY/15396834 ")</f>
        <v xml:space="preserve">http://slimages.macys.com/is/image/MCY/15396834 </v>
      </c>
    </row>
    <row r="28" spans="1:12" ht="39.950000000000003" customHeight="1" x14ac:dyDescent="0.25">
      <c r="A28" s="6" t="s">
        <v>1549</v>
      </c>
      <c r="B28" s="7" t="s">
        <v>1550</v>
      </c>
      <c r="C28" s="8">
        <v>1</v>
      </c>
      <c r="D28" s="9">
        <v>99.99</v>
      </c>
      <c r="E28" s="8" t="s">
        <v>1551</v>
      </c>
      <c r="F28" s="7" t="s">
        <v>3363</v>
      </c>
      <c r="G28" s="10" t="s">
        <v>1427</v>
      </c>
      <c r="H28" s="7" t="s">
        <v>3365</v>
      </c>
      <c r="I28" s="7" t="s">
        <v>3366</v>
      </c>
      <c r="J28" s="7" t="s">
        <v>3358</v>
      </c>
      <c r="K28" s="7" t="s">
        <v>4138</v>
      </c>
      <c r="L28" s="11" t="str">
        <f>HYPERLINK("http://slimages.macys.com/is/image/MCY/8182285 ")</f>
        <v xml:space="preserve">http://slimages.macys.com/is/image/MCY/8182285 </v>
      </c>
    </row>
    <row r="29" spans="1:12" ht="39.950000000000003" customHeight="1" x14ac:dyDescent="0.25">
      <c r="A29" s="6" t="s">
        <v>1552</v>
      </c>
      <c r="B29" s="7" t="s">
        <v>1553</v>
      </c>
      <c r="C29" s="8">
        <v>1</v>
      </c>
      <c r="D29" s="9">
        <v>69.989999999999995</v>
      </c>
      <c r="E29" s="8">
        <v>100003977</v>
      </c>
      <c r="F29" s="7" t="s">
        <v>3355</v>
      </c>
      <c r="G29" s="10"/>
      <c r="H29" s="7" t="s">
        <v>3365</v>
      </c>
      <c r="I29" s="7" t="s">
        <v>3385</v>
      </c>
      <c r="J29" s="7" t="s">
        <v>3358</v>
      </c>
      <c r="K29" s="7" t="s">
        <v>1554</v>
      </c>
      <c r="L29" s="11" t="str">
        <f>HYPERLINK("http://slimages.macys.com/is/image/MCY/9019699 ")</f>
        <v xml:space="preserve">http://slimages.macys.com/is/image/MCY/9019699 </v>
      </c>
    </row>
    <row r="30" spans="1:12" ht="39.950000000000003" customHeight="1" x14ac:dyDescent="0.25">
      <c r="A30" s="6" t="s">
        <v>1555</v>
      </c>
      <c r="B30" s="7" t="s">
        <v>1556</v>
      </c>
      <c r="C30" s="8">
        <v>2</v>
      </c>
      <c r="D30" s="9">
        <v>159.97999999999999</v>
      </c>
      <c r="E30" s="8">
        <v>100003975</v>
      </c>
      <c r="F30" s="7" t="s">
        <v>3355</v>
      </c>
      <c r="G30" s="10" t="s">
        <v>3947</v>
      </c>
      <c r="H30" s="7" t="s">
        <v>3365</v>
      </c>
      <c r="I30" s="7" t="s">
        <v>3385</v>
      </c>
      <c r="J30" s="7" t="s">
        <v>3358</v>
      </c>
      <c r="K30" s="7" t="s">
        <v>1557</v>
      </c>
      <c r="L30" s="11" t="str">
        <f>HYPERLINK("http://slimages.macys.com/is/image/MCY/12277365 ")</f>
        <v xml:space="preserve">http://slimages.macys.com/is/image/MCY/12277365 </v>
      </c>
    </row>
    <row r="31" spans="1:12" ht="39.950000000000003" customHeight="1" x14ac:dyDescent="0.25">
      <c r="A31" s="6" t="s">
        <v>1558</v>
      </c>
      <c r="B31" s="7" t="s">
        <v>1559</v>
      </c>
      <c r="C31" s="8">
        <v>1</v>
      </c>
      <c r="D31" s="9">
        <v>49.99</v>
      </c>
      <c r="E31" s="8" t="s">
        <v>1560</v>
      </c>
      <c r="F31" s="7" t="s">
        <v>3363</v>
      </c>
      <c r="G31" s="10"/>
      <c r="H31" s="7" t="s">
        <v>3412</v>
      </c>
      <c r="I31" s="7" t="s">
        <v>3413</v>
      </c>
      <c r="J31" s="7" t="s">
        <v>3358</v>
      </c>
      <c r="K31" s="7" t="s">
        <v>4098</v>
      </c>
      <c r="L31" s="11" t="str">
        <f>HYPERLINK("http://slimages.macys.com/is/image/MCY/9330026 ")</f>
        <v xml:space="preserve">http://slimages.macys.com/is/image/MCY/9330026 </v>
      </c>
    </row>
    <row r="32" spans="1:12" ht="39.950000000000003" customHeight="1" x14ac:dyDescent="0.25">
      <c r="A32" s="6" t="s">
        <v>1561</v>
      </c>
      <c r="B32" s="7" t="s">
        <v>1562</v>
      </c>
      <c r="C32" s="8">
        <v>1</v>
      </c>
      <c r="D32" s="9">
        <v>79.989999999999995</v>
      </c>
      <c r="E32" s="8" t="s">
        <v>1563</v>
      </c>
      <c r="F32" s="7" t="s">
        <v>3355</v>
      </c>
      <c r="G32" s="10"/>
      <c r="H32" s="7" t="s">
        <v>3365</v>
      </c>
      <c r="I32" s="7" t="s">
        <v>2522</v>
      </c>
      <c r="J32" s="7"/>
      <c r="K32" s="7"/>
      <c r="L32" s="11" t="str">
        <f>HYPERLINK("http://slimages.macys.com/is/image/MCY/16833473 ")</f>
        <v xml:space="preserve">http://slimages.macys.com/is/image/MCY/16833473 </v>
      </c>
    </row>
    <row r="33" spans="1:12" ht="39.950000000000003" customHeight="1" x14ac:dyDescent="0.25">
      <c r="A33" s="6" t="s">
        <v>1564</v>
      </c>
      <c r="B33" s="7" t="s">
        <v>1565</v>
      </c>
      <c r="C33" s="8">
        <v>1</v>
      </c>
      <c r="D33" s="9">
        <v>64.989999999999995</v>
      </c>
      <c r="E33" s="8" t="s">
        <v>1566</v>
      </c>
      <c r="F33" s="7" t="s">
        <v>3363</v>
      </c>
      <c r="G33" s="10"/>
      <c r="H33" s="7" t="s">
        <v>3365</v>
      </c>
      <c r="I33" s="7" t="s">
        <v>2522</v>
      </c>
      <c r="J33" s="7" t="s">
        <v>3358</v>
      </c>
      <c r="K33" s="7" t="s">
        <v>3582</v>
      </c>
      <c r="L33" s="11" t="str">
        <f>HYPERLINK("http://slimages.macys.com/is/image/MCY/14788489 ")</f>
        <v xml:space="preserve">http://slimages.macys.com/is/image/MCY/14788489 </v>
      </c>
    </row>
    <row r="34" spans="1:12" ht="39.950000000000003" customHeight="1" x14ac:dyDescent="0.25">
      <c r="A34" s="6" t="s">
        <v>1567</v>
      </c>
      <c r="B34" s="7" t="s">
        <v>1568</v>
      </c>
      <c r="C34" s="8">
        <v>1</v>
      </c>
      <c r="D34" s="9">
        <v>49.99</v>
      </c>
      <c r="E34" s="8" t="s">
        <v>1569</v>
      </c>
      <c r="F34" s="7"/>
      <c r="G34" s="10"/>
      <c r="H34" s="7" t="s">
        <v>3876</v>
      </c>
      <c r="I34" s="7" t="s">
        <v>3877</v>
      </c>
      <c r="J34" s="7" t="s">
        <v>3358</v>
      </c>
      <c r="K34" s="7" t="s">
        <v>3506</v>
      </c>
      <c r="L34" s="11" t="str">
        <f>HYPERLINK("http://slimages.macys.com/is/image/MCY/11012501 ")</f>
        <v xml:space="preserve">http://slimages.macys.com/is/image/MCY/11012501 </v>
      </c>
    </row>
    <row r="35" spans="1:12" ht="39.950000000000003" customHeight="1" x14ac:dyDescent="0.25">
      <c r="A35" s="6" t="s">
        <v>1570</v>
      </c>
      <c r="B35" s="7" t="s">
        <v>1571</v>
      </c>
      <c r="C35" s="8">
        <v>1</v>
      </c>
      <c r="D35" s="9">
        <v>39.99</v>
      </c>
      <c r="E35" s="8" t="s">
        <v>1572</v>
      </c>
      <c r="F35" s="7" t="s">
        <v>3363</v>
      </c>
      <c r="G35" s="10"/>
      <c r="H35" s="7" t="s">
        <v>3422</v>
      </c>
      <c r="I35" s="7" t="s">
        <v>3664</v>
      </c>
      <c r="J35" s="7" t="s">
        <v>3358</v>
      </c>
      <c r="K35" s="7" t="s">
        <v>3390</v>
      </c>
      <c r="L35" s="11" t="str">
        <f>HYPERLINK("http://slimages.macys.com/is/image/MCY/11798550 ")</f>
        <v xml:space="preserve">http://slimages.macys.com/is/image/MCY/11798550 </v>
      </c>
    </row>
    <row r="36" spans="1:12" ht="39.950000000000003" customHeight="1" x14ac:dyDescent="0.25">
      <c r="A36" s="6" t="s">
        <v>1573</v>
      </c>
      <c r="B36" s="7" t="s">
        <v>1574</v>
      </c>
      <c r="C36" s="8">
        <v>1</v>
      </c>
      <c r="D36" s="9">
        <v>39.99</v>
      </c>
      <c r="E36" s="8">
        <v>130119</v>
      </c>
      <c r="F36" s="7" t="s">
        <v>3363</v>
      </c>
      <c r="G36" s="10" t="s">
        <v>3364</v>
      </c>
      <c r="H36" s="7" t="s">
        <v>3422</v>
      </c>
      <c r="I36" s="7" t="s">
        <v>3423</v>
      </c>
      <c r="J36" s="7" t="s">
        <v>3358</v>
      </c>
      <c r="K36" s="7" t="s">
        <v>4134</v>
      </c>
      <c r="L36" s="11" t="str">
        <f>HYPERLINK("http://slimages.macys.com/is/image/MCY/3895749 ")</f>
        <v xml:space="preserve">http://slimages.macys.com/is/image/MCY/3895749 </v>
      </c>
    </row>
    <row r="37" spans="1:12" ht="39.950000000000003" customHeight="1" x14ac:dyDescent="0.25">
      <c r="A37" s="6" t="s">
        <v>1575</v>
      </c>
      <c r="B37" s="7" t="s">
        <v>1576</v>
      </c>
      <c r="C37" s="8">
        <v>1</v>
      </c>
      <c r="D37" s="9">
        <v>39.99</v>
      </c>
      <c r="E37" s="8">
        <v>130366</v>
      </c>
      <c r="F37" s="7" t="s">
        <v>3650</v>
      </c>
      <c r="G37" s="10" t="s">
        <v>3364</v>
      </c>
      <c r="H37" s="7" t="s">
        <v>3422</v>
      </c>
      <c r="I37" s="7" t="s">
        <v>3423</v>
      </c>
      <c r="J37" s="7" t="s">
        <v>3358</v>
      </c>
      <c r="K37" s="7" t="s">
        <v>4134</v>
      </c>
      <c r="L37" s="11" t="str">
        <f>HYPERLINK("http://slimages.macys.com/is/image/MCY/3895749 ")</f>
        <v xml:space="preserve">http://slimages.macys.com/is/image/MCY/3895749 </v>
      </c>
    </row>
    <row r="38" spans="1:12" ht="39.950000000000003" customHeight="1" x14ac:dyDescent="0.25">
      <c r="A38" s="6" t="s">
        <v>1577</v>
      </c>
      <c r="B38" s="7" t="s">
        <v>1578</v>
      </c>
      <c r="C38" s="8">
        <v>1</v>
      </c>
      <c r="D38" s="9">
        <v>39.99</v>
      </c>
      <c r="E38" s="8">
        <v>100109280</v>
      </c>
      <c r="F38" s="7" t="s">
        <v>3363</v>
      </c>
      <c r="G38" s="10"/>
      <c r="H38" s="7" t="s">
        <v>3454</v>
      </c>
      <c r="I38" s="7" t="s">
        <v>3915</v>
      </c>
      <c r="J38" s="7"/>
      <c r="K38" s="7"/>
      <c r="L38" s="11" t="str">
        <f>HYPERLINK("http://slimages.macys.com/is/image/MCY/17902272 ")</f>
        <v xml:space="preserve">http://slimages.macys.com/is/image/MCY/17902272 </v>
      </c>
    </row>
    <row r="39" spans="1:12" ht="39.950000000000003" customHeight="1" x14ac:dyDescent="0.25">
      <c r="A39" s="6" t="s">
        <v>1579</v>
      </c>
      <c r="B39" s="7" t="s">
        <v>1580</v>
      </c>
      <c r="C39" s="8">
        <v>1</v>
      </c>
      <c r="D39" s="9">
        <v>39.99</v>
      </c>
      <c r="E39" s="8" t="s">
        <v>1581</v>
      </c>
      <c r="F39" s="7" t="s">
        <v>3673</v>
      </c>
      <c r="G39" s="10" t="s">
        <v>1582</v>
      </c>
      <c r="H39" s="7" t="s">
        <v>3482</v>
      </c>
      <c r="I39" s="7" t="s">
        <v>3618</v>
      </c>
      <c r="J39" s="7" t="s">
        <v>3358</v>
      </c>
      <c r="K39" s="7" t="s">
        <v>3484</v>
      </c>
      <c r="L39" s="11" t="str">
        <f>HYPERLINK("http://slimages.macys.com/is/image/MCY/13824470 ")</f>
        <v xml:space="preserve">http://slimages.macys.com/is/image/MCY/13824470 </v>
      </c>
    </row>
    <row r="40" spans="1:12" ht="39.950000000000003" customHeight="1" x14ac:dyDescent="0.25">
      <c r="A40" s="6" t="s">
        <v>1583</v>
      </c>
      <c r="B40" s="7" t="s">
        <v>1584</v>
      </c>
      <c r="C40" s="8">
        <v>1</v>
      </c>
      <c r="D40" s="9">
        <v>29.99</v>
      </c>
      <c r="E40" s="8">
        <v>21339238</v>
      </c>
      <c r="F40" s="7" t="s">
        <v>3925</v>
      </c>
      <c r="G40" s="10"/>
      <c r="H40" s="7" t="s">
        <v>3526</v>
      </c>
      <c r="I40" s="7" t="s">
        <v>3413</v>
      </c>
      <c r="J40" s="7" t="s">
        <v>3358</v>
      </c>
      <c r="K40" s="7"/>
      <c r="L40" s="11" t="str">
        <f>HYPERLINK("http://slimages.macys.com/is/image/MCY/15389782 ")</f>
        <v xml:space="preserve">http://slimages.macys.com/is/image/MCY/15389782 </v>
      </c>
    </row>
    <row r="41" spans="1:12" ht="39.950000000000003" customHeight="1" x14ac:dyDescent="0.25">
      <c r="A41" s="6" t="s">
        <v>1585</v>
      </c>
      <c r="B41" s="7" t="s">
        <v>1586</v>
      </c>
      <c r="C41" s="8">
        <v>1</v>
      </c>
      <c r="D41" s="9">
        <v>34.99</v>
      </c>
      <c r="E41" s="8">
        <v>14276</v>
      </c>
      <c r="F41" s="7" t="s">
        <v>3363</v>
      </c>
      <c r="G41" s="10" t="s">
        <v>3504</v>
      </c>
      <c r="H41" s="7" t="s">
        <v>3388</v>
      </c>
      <c r="I41" s="7" t="s">
        <v>1587</v>
      </c>
      <c r="J41" s="7" t="s">
        <v>3692</v>
      </c>
      <c r="K41" s="7" t="s">
        <v>1588</v>
      </c>
      <c r="L41" s="11" t="str">
        <f>HYPERLINK("http://slimages.macys.com/is/image/MCY/12038894 ")</f>
        <v xml:space="preserve">http://slimages.macys.com/is/image/MCY/12038894 </v>
      </c>
    </row>
    <row r="42" spans="1:12" ht="39.950000000000003" customHeight="1" x14ac:dyDescent="0.25">
      <c r="A42" s="6" t="s">
        <v>2546</v>
      </c>
      <c r="B42" s="7" t="s">
        <v>1589</v>
      </c>
      <c r="C42" s="8">
        <v>1</v>
      </c>
      <c r="D42" s="9">
        <v>29.99</v>
      </c>
      <c r="E42" s="8" t="s">
        <v>2548</v>
      </c>
      <c r="F42" s="7" t="s">
        <v>3363</v>
      </c>
      <c r="G42" s="10" t="s">
        <v>3690</v>
      </c>
      <c r="H42" s="7" t="s">
        <v>3471</v>
      </c>
      <c r="I42" s="7" t="s">
        <v>2549</v>
      </c>
      <c r="J42" s="7" t="s">
        <v>3358</v>
      </c>
      <c r="K42" s="7"/>
      <c r="L42" s="11" t="str">
        <f>HYPERLINK("http://slimages.macys.com/is/image/MCY/8839662 ")</f>
        <v xml:space="preserve">http://slimages.macys.com/is/image/MCY/8839662 </v>
      </c>
    </row>
    <row r="43" spans="1:12" ht="39.950000000000003" customHeight="1" x14ac:dyDescent="0.25">
      <c r="A43" s="6" t="s">
        <v>1590</v>
      </c>
      <c r="B43" s="7" t="s">
        <v>1591</v>
      </c>
      <c r="C43" s="8">
        <v>1</v>
      </c>
      <c r="D43" s="9">
        <v>24.99</v>
      </c>
      <c r="E43" s="8" t="s">
        <v>1592</v>
      </c>
      <c r="F43" s="7" t="s">
        <v>3937</v>
      </c>
      <c r="G43" s="10" t="s">
        <v>1593</v>
      </c>
      <c r="H43" s="7" t="s">
        <v>3492</v>
      </c>
      <c r="I43" s="7" t="s">
        <v>4242</v>
      </c>
      <c r="J43" s="7"/>
      <c r="K43" s="7"/>
      <c r="L43" s="11" t="str">
        <f>HYPERLINK("http://slimages.macys.com/is/image/MCY/16699824 ")</f>
        <v xml:space="preserve">http://slimages.macys.com/is/image/MCY/16699824 </v>
      </c>
    </row>
    <row r="44" spans="1:12" ht="39.950000000000003" customHeight="1" x14ac:dyDescent="0.25">
      <c r="A44" s="6" t="s">
        <v>1594</v>
      </c>
      <c r="B44" s="7" t="s">
        <v>1595</v>
      </c>
      <c r="C44" s="8">
        <v>1</v>
      </c>
      <c r="D44" s="9">
        <v>24.99</v>
      </c>
      <c r="E44" s="8">
        <v>100088905</v>
      </c>
      <c r="F44" s="7" t="s">
        <v>3992</v>
      </c>
      <c r="G44" s="10" t="s">
        <v>3453</v>
      </c>
      <c r="H44" s="7" t="s">
        <v>3418</v>
      </c>
      <c r="I44" s="7" t="s">
        <v>3993</v>
      </c>
      <c r="J44" s="7" t="s">
        <v>3358</v>
      </c>
      <c r="K44" s="7" t="s">
        <v>3506</v>
      </c>
      <c r="L44" s="11" t="str">
        <f>HYPERLINK("http://slimages.macys.com/is/image/MCY/16472280 ")</f>
        <v xml:space="preserve">http://slimages.macys.com/is/image/MCY/16472280 </v>
      </c>
    </row>
    <row r="45" spans="1:12" ht="39.950000000000003" customHeight="1" x14ac:dyDescent="0.25">
      <c r="A45" s="6" t="s">
        <v>1596</v>
      </c>
      <c r="B45" s="7" t="s">
        <v>1597</v>
      </c>
      <c r="C45" s="8">
        <v>1</v>
      </c>
      <c r="D45" s="9">
        <v>22.99</v>
      </c>
      <c r="E45" s="8">
        <v>53459</v>
      </c>
      <c r="F45" s="7" t="s">
        <v>3553</v>
      </c>
      <c r="G45" s="10"/>
      <c r="H45" s="7" t="s">
        <v>3492</v>
      </c>
      <c r="I45" s="7" t="s">
        <v>3636</v>
      </c>
      <c r="J45" s="7" t="s">
        <v>3358</v>
      </c>
      <c r="K45" s="7" t="s">
        <v>3390</v>
      </c>
      <c r="L45" s="11" t="str">
        <f>HYPERLINK("http://slimages.macys.com/is/image/MCY/12936575 ")</f>
        <v xml:space="preserve">http://slimages.macys.com/is/image/MCY/12936575 </v>
      </c>
    </row>
    <row r="46" spans="1:12" ht="39.950000000000003" customHeight="1" x14ac:dyDescent="0.25">
      <c r="A46" s="6" t="s">
        <v>1598</v>
      </c>
      <c r="B46" s="7" t="s">
        <v>1599</v>
      </c>
      <c r="C46" s="8">
        <v>1</v>
      </c>
      <c r="D46" s="9">
        <v>24.99</v>
      </c>
      <c r="E46" s="8" t="s">
        <v>1600</v>
      </c>
      <c r="F46" s="7" t="s">
        <v>3498</v>
      </c>
      <c r="G46" s="10"/>
      <c r="H46" s="7" t="s">
        <v>3356</v>
      </c>
      <c r="I46" s="7" t="s">
        <v>3651</v>
      </c>
      <c r="J46" s="7" t="s">
        <v>3358</v>
      </c>
      <c r="K46" s="7" t="s">
        <v>3390</v>
      </c>
      <c r="L46" s="11" t="str">
        <f>HYPERLINK("http://slimages.macys.com/is/image/MCY/2861128 ")</f>
        <v xml:space="preserve">http://slimages.macys.com/is/image/MCY/2861128 </v>
      </c>
    </row>
    <row r="47" spans="1:12" ht="39.950000000000003" customHeight="1" x14ac:dyDescent="0.25">
      <c r="A47" s="6" t="s">
        <v>1601</v>
      </c>
      <c r="B47" s="7" t="s">
        <v>1602</v>
      </c>
      <c r="C47" s="8">
        <v>2</v>
      </c>
      <c r="D47" s="9">
        <v>59.98</v>
      </c>
      <c r="E47" s="8" t="s">
        <v>1603</v>
      </c>
      <c r="F47" s="7" t="s">
        <v>3921</v>
      </c>
      <c r="G47" s="10"/>
      <c r="H47" s="7" t="s">
        <v>3408</v>
      </c>
      <c r="I47" s="7" t="s">
        <v>3409</v>
      </c>
      <c r="J47" s="7"/>
      <c r="K47" s="7"/>
      <c r="L47" s="11" t="str">
        <f>HYPERLINK("http://slimages.macys.com/is/image/MCY/17450413 ")</f>
        <v xml:space="preserve">http://slimages.macys.com/is/image/MCY/17450413 </v>
      </c>
    </row>
    <row r="48" spans="1:12" ht="39.950000000000003" customHeight="1" x14ac:dyDescent="0.25">
      <c r="A48" s="6" t="s">
        <v>1604</v>
      </c>
      <c r="B48" s="7" t="s">
        <v>1605</v>
      </c>
      <c r="C48" s="8">
        <v>1</v>
      </c>
      <c r="D48" s="9">
        <v>59.99</v>
      </c>
      <c r="E48" s="8" t="s">
        <v>1606</v>
      </c>
      <c r="F48" s="7" t="s">
        <v>3355</v>
      </c>
      <c r="G48" s="10"/>
      <c r="H48" s="7" t="s">
        <v>3365</v>
      </c>
      <c r="I48" s="7" t="s">
        <v>3402</v>
      </c>
      <c r="J48" s="7" t="s">
        <v>3358</v>
      </c>
      <c r="K48" s="7" t="s">
        <v>3403</v>
      </c>
      <c r="L48" s="11" t="str">
        <f>HYPERLINK("http://slimages.macys.com/is/image/MCY/3573212 ")</f>
        <v xml:space="preserve">http://slimages.macys.com/is/image/MCY/3573212 </v>
      </c>
    </row>
    <row r="49" spans="1:12" ht="39.950000000000003" customHeight="1" x14ac:dyDescent="0.25">
      <c r="A49" s="6" t="s">
        <v>1607</v>
      </c>
      <c r="B49" s="7" t="s">
        <v>1608</v>
      </c>
      <c r="C49" s="8">
        <v>1</v>
      </c>
      <c r="D49" s="9">
        <v>14.99</v>
      </c>
      <c r="E49" s="8" t="s">
        <v>1609</v>
      </c>
      <c r="F49" s="7" t="s">
        <v>3371</v>
      </c>
      <c r="G49" s="10" t="s">
        <v>3774</v>
      </c>
      <c r="H49" s="7" t="s">
        <v>3372</v>
      </c>
      <c r="I49" s="7" t="s">
        <v>3803</v>
      </c>
      <c r="J49" s="7" t="s">
        <v>3358</v>
      </c>
      <c r="K49" s="7" t="s">
        <v>1610</v>
      </c>
      <c r="L49" s="11" t="str">
        <f>HYPERLINK("http://slimages.macys.com/is/image/MCY/10622783 ")</f>
        <v xml:space="preserve">http://slimages.macys.com/is/image/MCY/10622783 </v>
      </c>
    </row>
    <row r="50" spans="1:12" ht="39.950000000000003" customHeight="1" x14ac:dyDescent="0.25">
      <c r="A50" s="6" t="s">
        <v>1611</v>
      </c>
      <c r="B50" s="7" t="s">
        <v>1612</v>
      </c>
      <c r="C50" s="8">
        <v>1</v>
      </c>
      <c r="D50" s="9">
        <v>39.99</v>
      </c>
      <c r="E50" s="8" t="s">
        <v>1613</v>
      </c>
      <c r="F50" s="7" t="s">
        <v>3481</v>
      </c>
      <c r="G50" s="10"/>
      <c r="H50" s="7" t="s">
        <v>3601</v>
      </c>
      <c r="I50" s="7" t="s">
        <v>3602</v>
      </c>
      <c r="J50" s="7" t="s">
        <v>3358</v>
      </c>
      <c r="K50" s="7" t="s">
        <v>4282</v>
      </c>
      <c r="L50" s="11" t="str">
        <f>HYPERLINK("http://slimages.macys.com/is/image/MCY/11607139 ")</f>
        <v xml:space="preserve">http://slimages.macys.com/is/image/MCY/11607139 </v>
      </c>
    </row>
    <row r="51" spans="1:12" ht="39.950000000000003" customHeight="1" x14ac:dyDescent="0.25">
      <c r="A51" s="6" t="s">
        <v>1614</v>
      </c>
      <c r="B51" s="7" t="s">
        <v>1615</v>
      </c>
      <c r="C51" s="8">
        <v>1</v>
      </c>
      <c r="D51" s="9">
        <v>20.99</v>
      </c>
      <c r="E51" s="8" t="s">
        <v>1616</v>
      </c>
      <c r="F51" s="7" t="s">
        <v>3735</v>
      </c>
      <c r="G51" s="10"/>
      <c r="H51" s="7" t="s">
        <v>3492</v>
      </c>
      <c r="I51" s="7" t="s">
        <v>3938</v>
      </c>
      <c r="J51" s="7" t="s">
        <v>3358</v>
      </c>
      <c r="K51" s="7" t="s">
        <v>3506</v>
      </c>
      <c r="L51" s="11" t="str">
        <f>HYPERLINK("http://slimages.macys.com/is/image/MCY/12241882 ")</f>
        <v xml:space="preserve">http://slimages.macys.com/is/image/MCY/12241882 </v>
      </c>
    </row>
    <row r="52" spans="1:12" ht="39.950000000000003" customHeight="1" x14ac:dyDescent="0.25">
      <c r="A52" s="6" t="s">
        <v>1617</v>
      </c>
      <c r="B52" s="7" t="s">
        <v>1618</v>
      </c>
      <c r="C52" s="8">
        <v>1</v>
      </c>
      <c r="D52" s="9">
        <v>11.99</v>
      </c>
      <c r="E52" s="8" t="s">
        <v>1619</v>
      </c>
      <c r="F52" s="7" t="s">
        <v>3477</v>
      </c>
      <c r="G52" s="10"/>
      <c r="H52" s="7" t="s">
        <v>3515</v>
      </c>
      <c r="I52" s="7" t="s">
        <v>3436</v>
      </c>
      <c r="J52" s="7"/>
      <c r="K52" s="7"/>
      <c r="L52" s="11" t="str">
        <f>HYPERLINK("http://slimages.macys.com/is/image/MCY/17627778 ")</f>
        <v xml:space="preserve">http://slimages.macys.com/is/image/MCY/17627778 </v>
      </c>
    </row>
    <row r="53" spans="1:12" ht="39.950000000000003" customHeight="1" x14ac:dyDescent="0.25">
      <c r="A53" s="6" t="s">
        <v>3540</v>
      </c>
      <c r="B53" s="7" t="s">
        <v>3541</v>
      </c>
      <c r="C53" s="8">
        <v>10</v>
      </c>
      <c r="D53" s="9">
        <v>400</v>
      </c>
      <c r="E53" s="8"/>
      <c r="F53" s="7" t="s">
        <v>3542</v>
      </c>
      <c r="G53" s="10" t="s">
        <v>3504</v>
      </c>
      <c r="H53" s="7" t="s">
        <v>3543</v>
      </c>
      <c r="I53" s="7" t="s">
        <v>3544</v>
      </c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1620</v>
      </c>
      <c r="B2" s="7" t="s">
        <v>1621</v>
      </c>
      <c r="C2" s="8">
        <v>1</v>
      </c>
      <c r="D2" s="9">
        <v>340</v>
      </c>
      <c r="E2" s="8" t="s">
        <v>1622</v>
      </c>
      <c r="F2" s="7" t="s">
        <v>3363</v>
      </c>
      <c r="G2" s="10"/>
      <c r="H2" s="7" t="s">
        <v>3412</v>
      </c>
      <c r="I2" s="7" t="s">
        <v>3261</v>
      </c>
      <c r="J2" s="7" t="s">
        <v>1623</v>
      </c>
      <c r="K2" s="7" t="s">
        <v>3582</v>
      </c>
      <c r="L2" s="11" t="str">
        <f>HYPERLINK("http://images.bloomingdales.com/is/image/BLM/10139781 ")</f>
        <v xml:space="preserve">http://images.bloomingdales.com/is/image/BLM/10139781 </v>
      </c>
    </row>
    <row r="3" spans="1:12" ht="39.950000000000003" customHeight="1" x14ac:dyDescent="0.25">
      <c r="A3" s="6" t="s">
        <v>1624</v>
      </c>
      <c r="B3" s="7" t="s">
        <v>1625</v>
      </c>
      <c r="C3" s="8">
        <v>1</v>
      </c>
      <c r="D3" s="9">
        <v>430</v>
      </c>
      <c r="E3" s="8" t="s">
        <v>1626</v>
      </c>
      <c r="F3" s="7" t="s">
        <v>2663</v>
      </c>
      <c r="G3" s="10"/>
      <c r="H3" s="7" t="s">
        <v>3397</v>
      </c>
      <c r="I3" s="7" t="s">
        <v>2401</v>
      </c>
      <c r="J3" s="7" t="s">
        <v>3813</v>
      </c>
      <c r="K3" s="7" t="s">
        <v>1627</v>
      </c>
      <c r="L3" s="11" t="str">
        <f>HYPERLINK("http://images.bloomingdales.com/is/image/BLM/10976616 ")</f>
        <v xml:space="preserve">http://images.bloomingdales.com/is/image/BLM/10976616 </v>
      </c>
    </row>
    <row r="4" spans="1:12" ht="39.950000000000003" customHeight="1" x14ac:dyDescent="0.25">
      <c r="A4" s="6" t="s">
        <v>1628</v>
      </c>
      <c r="B4" s="7" t="s">
        <v>1629</v>
      </c>
      <c r="C4" s="8">
        <v>1</v>
      </c>
      <c r="D4" s="9">
        <v>299.99</v>
      </c>
      <c r="E4" s="8" t="s">
        <v>1630</v>
      </c>
      <c r="F4" s="7" t="s">
        <v>3363</v>
      </c>
      <c r="G4" s="10" t="s">
        <v>3364</v>
      </c>
      <c r="H4" s="7" t="s">
        <v>3365</v>
      </c>
      <c r="I4" s="7" t="s">
        <v>3558</v>
      </c>
      <c r="J4" s="7"/>
      <c r="K4" s="7"/>
      <c r="L4" s="11" t="str">
        <f>HYPERLINK("http://slimages.macys.com/is/image/MCY/17481062 ")</f>
        <v xml:space="preserve">http://slimages.macys.com/is/image/MCY/17481062 </v>
      </c>
    </row>
    <row r="5" spans="1:12" ht="39.950000000000003" customHeight="1" x14ac:dyDescent="0.25">
      <c r="A5" s="6" t="s">
        <v>1631</v>
      </c>
      <c r="B5" s="7" t="s">
        <v>1632</v>
      </c>
      <c r="C5" s="8">
        <v>1</v>
      </c>
      <c r="D5" s="9">
        <v>299.99</v>
      </c>
      <c r="E5" s="8" t="s">
        <v>1633</v>
      </c>
      <c r="F5" s="7" t="s">
        <v>3355</v>
      </c>
      <c r="G5" s="10" t="s">
        <v>3364</v>
      </c>
      <c r="H5" s="7" t="s">
        <v>3365</v>
      </c>
      <c r="I5" s="7" t="s">
        <v>2522</v>
      </c>
      <c r="J5" s="7" t="s">
        <v>3358</v>
      </c>
      <c r="K5" s="7"/>
      <c r="L5" s="11" t="str">
        <f>HYPERLINK("http://slimages.macys.com/is/image/MCY/10467379 ")</f>
        <v xml:space="preserve">http://slimages.macys.com/is/image/MCY/10467379 </v>
      </c>
    </row>
    <row r="6" spans="1:12" ht="39.950000000000003" customHeight="1" x14ac:dyDescent="0.25">
      <c r="A6" s="6" t="s">
        <v>1634</v>
      </c>
      <c r="B6" s="7" t="s">
        <v>1635</v>
      </c>
      <c r="C6" s="8">
        <v>1</v>
      </c>
      <c r="D6" s="9">
        <v>174</v>
      </c>
      <c r="E6" s="8" t="s">
        <v>1636</v>
      </c>
      <c r="F6" s="7" t="s">
        <v>3531</v>
      </c>
      <c r="G6" s="10"/>
      <c r="H6" s="7" t="s">
        <v>3412</v>
      </c>
      <c r="I6" s="7" t="s">
        <v>1511</v>
      </c>
      <c r="J6" s="7" t="s">
        <v>1623</v>
      </c>
      <c r="K6" s="7" t="s">
        <v>3814</v>
      </c>
      <c r="L6" s="11" t="str">
        <f>HYPERLINK("http://images.bloomingdales.com/is/image/BLM/10580126 ")</f>
        <v xml:space="preserve">http://images.bloomingdales.com/is/image/BLM/10580126 </v>
      </c>
    </row>
    <row r="7" spans="1:12" ht="39.950000000000003" customHeight="1" x14ac:dyDescent="0.25">
      <c r="A7" s="6" t="s">
        <v>3830</v>
      </c>
      <c r="B7" s="7" t="s">
        <v>3831</v>
      </c>
      <c r="C7" s="8">
        <v>1</v>
      </c>
      <c r="D7" s="9">
        <v>179.99</v>
      </c>
      <c r="E7" s="8">
        <v>81393</v>
      </c>
      <c r="F7" s="7" t="s">
        <v>3553</v>
      </c>
      <c r="G7" s="10"/>
      <c r="H7" s="7" t="s">
        <v>3412</v>
      </c>
      <c r="I7" s="7" t="s">
        <v>3595</v>
      </c>
      <c r="J7" s="7" t="s">
        <v>3358</v>
      </c>
      <c r="K7" s="7" t="s">
        <v>3832</v>
      </c>
      <c r="L7" s="11" t="str">
        <f>HYPERLINK("http://slimages.macys.com/is/image/MCY/14789644 ")</f>
        <v xml:space="preserve">http://slimages.macys.com/is/image/MCY/14789644 </v>
      </c>
    </row>
    <row r="8" spans="1:12" ht="39.950000000000003" customHeight="1" x14ac:dyDescent="0.25">
      <c r="A8" s="6" t="s">
        <v>1637</v>
      </c>
      <c r="B8" s="7" t="s">
        <v>1638</v>
      </c>
      <c r="C8" s="8">
        <v>1</v>
      </c>
      <c r="D8" s="9">
        <v>199.99</v>
      </c>
      <c r="E8" s="8" t="s">
        <v>1639</v>
      </c>
      <c r="F8" s="7" t="s">
        <v>3668</v>
      </c>
      <c r="G8" s="10"/>
      <c r="H8" s="7" t="s">
        <v>3408</v>
      </c>
      <c r="I8" s="7" t="s">
        <v>3409</v>
      </c>
      <c r="J8" s="7"/>
      <c r="K8" s="7"/>
      <c r="L8" s="11" t="str">
        <f>HYPERLINK("http://slimages.macys.com/is/image/MCY/16633345 ")</f>
        <v xml:space="preserve">http://slimages.macys.com/is/image/MCY/16633345 </v>
      </c>
    </row>
    <row r="9" spans="1:12" ht="39.950000000000003" customHeight="1" x14ac:dyDescent="0.25">
      <c r="A9" s="6" t="s">
        <v>1640</v>
      </c>
      <c r="B9" s="7" t="s">
        <v>1641</v>
      </c>
      <c r="C9" s="8">
        <v>1</v>
      </c>
      <c r="D9" s="9">
        <v>360</v>
      </c>
      <c r="E9" s="8" t="s">
        <v>1642</v>
      </c>
      <c r="F9" s="7" t="s">
        <v>3498</v>
      </c>
      <c r="G9" s="10"/>
      <c r="H9" s="7" t="s">
        <v>3365</v>
      </c>
      <c r="I9" s="7" t="s">
        <v>3273</v>
      </c>
      <c r="J9" s="7"/>
      <c r="K9" s="7"/>
      <c r="L9" s="11" t="str">
        <f>HYPERLINK("http://slimages.macys.com/is/image/MCY/2182602 ")</f>
        <v xml:space="preserve">http://slimages.macys.com/is/image/MCY/2182602 </v>
      </c>
    </row>
    <row r="10" spans="1:12" ht="39.950000000000003" customHeight="1" x14ac:dyDescent="0.25">
      <c r="A10" s="6" t="s">
        <v>1643</v>
      </c>
      <c r="B10" s="7" t="s">
        <v>1644</v>
      </c>
      <c r="C10" s="8">
        <v>1</v>
      </c>
      <c r="D10" s="9">
        <v>133.99</v>
      </c>
      <c r="E10" s="8">
        <v>81891</v>
      </c>
      <c r="F10" s="7" t="s">
        <v>3371</v>
      </c>
      <c r="G10" s="10"/>
      <c r="H10" s="7" t="s">
        <v>3412</v>
      </c>
      <c r="I10" s="7" t="s">
        <v>3595</v>
      </c>
      <c r="J10" s="7"/>
      <c r="K10" s="7"/>
      <c r="L10" s="11" t="str">
        <f>HYPERLINK("http://slimages.macys.com/is/image/MCY/17341417 ")</f>
        <v xml:space="preserve">http://slimages.macys.com/is/image/MCY/17341417 </v>
      </c>
    </row>
    <row r="11" spans="1:12" ht="39.950000000000003" customHeight="1" x14ac:dyDescent="0.25">
      <c r="A11" s="6" t="s">
        <v>1645</v>
      </c>
      <c r="B11" s="7" t="s">
        <v>1646</v>
      </c>
      <c r="C11" s="8">
        <v>1</v>
      </c>
      <c r="D11" s="9">
        <v>182</v>
      </c>
      <c r="E11" s="8" t="s">
        <v>1647</v>
      </c>
      <c r="F11" s="7" t="s">
        <v>3363</v>
      </c>
      <c r="G11" s="10" t="s">
        <v>1648</v>
      </c>
      <c r="H11" s="7" t="s">
        <v>3372</v>
      </c>
      <c r="I11" s="7" t="s">
        <v>1511</v>
      </c>
      <c r="J11" s="7" t="s">
        <v>3252</v>
      </c>
      <c r="K11" s="7" t="s">
        <v>3484</v>
      </c>
      <c r="L11" s="11" t="str">
        <f>HYPERLINK("http://images.bloomingdales.com/is/image/BLM/10517079 ")</f>
        <v xml:space="preserve">http://images.bloomingdales.com/is/image/BLM/10517079 </v>
      </c>
    </row>
    <row r="12" spans="1:12" ht="39.950000000000003" customHeight="1" x14ac:dyDescent="0.25">
      <c r="A12" s="6" t="s">
        <v>1649</v>
      </c>
      <c r="B12" s="7" t="s">
        <v>1650</v>
      </c>
      <c r="C12" s="8">
        <v>1</v>
      </c>
      <c r="D12" s="9">
        <v>149.99</v>
      </c>
      <c r="E12" s="8" t="s">
        <v>1651</v>
      </c>
      <c r="F12" s="7" t="s">
        <v>1652</v>
      </c>
      <c r="G12" s="10" t="s">
        <v>3453</v>
      </c>
      <c r="H12" s="7" t="s">
        <v>3412</v>
      </c>
      <c r="I12" s="7" t="s">
        <v>1653</v>
      </c>
      <c r="J12" s="7" t="s">
        <v>3358</v>
      </c>
      <c r="K12" s="7" t="s">
        <v>1554</v>
      </c>
      <c r="L12" s="11" t="str">
        <f>HYPERLINK("http://slimages.macys.com/is/image/MCY/10747333 ")</f>
        <v xml:space="preserve">http://slimages.macys.com/is/image/MCY/10747333 </v>
      </c>
    </row>
    <row r="13" spans="1:12" ht="39.950000000000003" customHeight="1" x14ac:dyDescent="0.25">
      <c r="A13" s="6" t="s">
        <v>1654</v>
      </c>
      <c r="B13" s="7" t="s">
        <v>1655</v>
      </c>
      <c r="C13" s="8">
        <v>1</v>
      </c>
      <c r="D13" s="9">
        <v>115</v>
      </c>
      <c r="E13" s="8">
        <v>563609000000000</v>
      </c>
      <c r="F13" s="7" t="s">
        <v>3363</v>
      </c>
      <c r="G13" s="10"/>
      <c r="H13" s="7" t="s">
        <v>3818</v>
      </c>
      <c r="I13" s="7" t="s">
        <v>1656</v>
      </c>
      <c r="J13" s="7" t="s">
        <v>1657</v>
      </c>
      <c r="K13" s="7" t="s">
        <v>3582</v>
      </c>
      <c r="L13" s="11" t="str">
        <f>HYPERLINK("http://images.bloomingdales.com/is/image/BLM/9598681 ")</f>
        <v xml:space="preserve">http://images.bloomingdales.com/is/image/BLM/9598681 </v>
      </c>
    </row>
    <row r="14" spans="1:12" ht="39.950000000000003" customHeight="1" x14ac:dyDescent="0.25">
      <c r="A14" s="6" t="s">
        <v>1658</v>
      </c>
      <c r="B14" s="7" t="s">
        <v>1659</v>
      </c>
      <c r="C14" s="8">
        <v>1</v>
      </c>
      <c r="D14" s="9">
        <v>149.99</v>
      </c>
      <c r="E14" s="8" t="s">
        <v>1660</v>
      </c>
      <c r="F14" s="7" t="s">
        <v>3363</v>
      </c>
      <c r="G14" s="10"/>
      <c r="H14" s="7" t="s">
        <v>3658</v>
      </c>
      <c r="I14" s="7" t="s">
        <v>3659</v>
      </c>
      <c r="J14" s="7" t="s">
        <v>3751</v>
      </c>
      <c r="K14" s="7"/>
      <c r="L14" s="11" t="str">
        <f>HYPERLINK("http://slimages.macys.com/is/image/MCY/8905437 ")</f>
        <v xml:space="preserve">http://slimages.macys.com/is/image/MCY/8905437 </v>
      </c>
    </row>
    <row r="15" spans="1:12" ht="39.950000000000003" customHeight="1" x14ac:dyDescent="0.25">
      <c r="A15" s="6" t="s">
        <v>1661</v>
      </c>
      <c r="B15" s="7" t="s">
        <v>1662</v>
      </c>
      <c r="C15" s="8">
        <v>1</v>
      </c>
      <c r="D15" s="9">
        <v>78.11</v>
      </c>
      <c r="E15" s="8" t="s">
        <v>1663</v>
      </c>
      <c r="F15" s="7"/>
      <c r="G15" s="10"/>
      <c r="H15" s="7" t="s">
        <v>3412</v>
      </c>
      <c r="I15" s="7" t="s">
        <v>3436</v>
      </c>
      <c r="J15" s="7"/>
      <c r="K15" s="7"/>
      <c r="L15" s="11" t="str">
        <f>HYPERLINK("http://slimages.macys.com/is/image/MCY/17900439 ")</f>
        <v xml:space="preserve">http://slimages.macys.com/is/image/MCY/17900439 </v>
      </c>
    </row>
    <row r="16" spans="1:12" ht="39.950000000000003" customHeight="1" x14ac:dyDescent="0.25">
      <c r="A16" s="6" t="s">
        <v>1664</v>
      </c>
      <c r="B16" s="7" t="s">
        <v>1665</v>
      </c>
      <c r="C16" s="8">
        <v>1</v>
      </c>
      <c r="D16" s="9">
        <v>185</v>
      </c>
      <c r="E16" s="8" t="s">
        <v>1666</v>
      </c>
      <c r="F16" s="7" t="s">
        <v>3498</v>
      </c>
      <c r="G16" s="10"/>
      <c r="H16" s="7" t="s">
        <v>3418</v>
      </c>
      <c r="I16" s="7" t="s">
        <v>3195</v>
      </c>
      <c r="J16" s="7" t="s">
        <v>3813</v>
      </c>
      <c r="K16" s="7" t="s">
        <v>1667</v>
      </c>
      <c r="L16" s="11" t="str">
        <f>HYPERLINK("http://images.bloomingdales.com/is/image/BLM/10151531 ")</f>
        <v xml:space="preserve">http://images.bloomingdales.com/is/image/BLM/10151531 </v>
      </c>
    </row>
    <row r="17" spans="1:12" ht="39.950000000000003" customHeight="1" x14ac:dyDescent="0.25">
      <c r="A17" s="6" t="s">
        <v>1668</v>
      </c>
      <c r="B17" s="7" t="s">
        <v>3306</v>
      </c>
      <c r="C17" s="8">
        <v>1</v>
      </c>
      <c r="D17" s="9">
        <v>78.11</v>
      </c>
      <c r="E17" s="8" t="s">
        <v>1669</v>
      </c>
      <c r="F17" s="7"/>
      <c r="G17" s="10"/>
      <c r="H17" s="7" t="s">
        <v>3418</v>
      </c>
      <c r="I17" s="7" t="s">
        <v>3195</v>
      </c>
      <c r="J17" s="7" t="s">
        <v>3813</v>
      </c>
      <c r="K17" s="7" t="s">
        <v>1667</v>
      </c>
      <c r="L17" s="11" t="str">
        <f>HYPERLINK("http://images.bloomingdales.com/is/image/BLM/10151531 ")</f>
        <v xml:space="preserve">http://images.bloomingdales.com/is/image/BLM/10151531 </v>
      </c>
    </row>
    <row r="18" spans="1:12" ht="39.950000000000003" customHeight="1" x14ac:dyDescent="0.25">
      <c r="A18" s="6" t="s">
        <v>1670</v>
      </c>
      <c r="B18" s="7" t="s">
        <v>3306</v>
      </c>
      <c r="C18" s="8">
        <v>1</v>
      </c>
      <c r="D18" s="9">
        <v>185</v>
      </c>
      <c r="E18" s="8" t="s">
        <v>1671</v>
      </c>
      <c r="F18" s="7" t="s">
        <v>3363</v>
      </c>
      <c r="G18" s="10"/>
      <c r="H18" s="7" t="s">
        <v>3418</v>
      </c>
      <c r="I18" s="7" t="s">
        <v>3195</v>
      </c>
      <c r="J18" s="7" t="s">
        <v>3813</v>
      </c>
      <c r="K18" s="7" t="s">
        <v>1667</v>
      </c>
      <c r="L18" s="11" t="str">
        <f>HYPERLINK("http://images.bloomingdales.com/is/image/BLM/10151531 ")</f>
        <v xml:space="preserve">http://images.bloomingdales.com/is/image/BLM/10151531 </v>
      </c>
    </row>
    <row r="19" spans="1:12" ht="39.950000000000003" customHeight="1" x14ac:dyDescent="0.25">
      <c r="A19" s="6" t="s">
        <v>1672</v>
      </c>
      <c r="B19" s="7" t="s">
        <v>1673</v>
      </c>
      <c r="C19" s="8">
        <v>1</v>
      </c>
      <c r="D19" s="9">
        <v>99.99</v>
      </c>
      <c r="E19" s="8" t="s">
        <v>1674</v>
      </c>
      <c r="F19" s="7" t="s">
        <v>3600</v>
      </c>
      <c r="G19" s="10"/>
      <c r="H19" s="7" t="s">
        <v>3601</v>
      </c>
      <c r="I19" s="7" t="s">
        <v>3602</v>
      </c>
      <c r="J19" s="7" t="s">
        <v>3358</v>
      </c>
      <c r="K19" s="7" t="s">
        <v>4282</v>
      </c>
      <c r="L19" s="11" t="str">
        <f>HYPERLINK("http://slimages.macys.com/is/image/MCY/11607139 ")</f>
        <v xml:space="preserve">http://slimages.macys.com/is/image/MCY/11607139 </v>
      </c>
    </row>
    <row r="20" spans="1:12" ht="39.950000000000003" customHeight="1" x14ac:dyDescent="0.25">
      <c r="A20" s="6" t="s">
        <v>1675</v>
      </c>
      <c r="B20" s="7" t="s">
        <v>1665</v>
      </c>
      <c r="C20" s="8">
        <v>1</v>
      </c>
      <c r="D20" s="9">
        <v>155</v>
      </c>
      <c r="E20" s="8" t="s">
        <v>1676</v>
      </c>
      <c r="F20" s="7" t="s">
        <v>4049</v>
      </c>
      <c r="G20" s="10"/>
      <c r="H20" s="7" t="s">
        <v>3418</v>
      </c>
      <c r="I20" s="7" t="s">
        <v>3195</v>
      </c>
      <c r="J20" s="7" t="s">
        <v>3813</v>
      </c>
      <c r="K20" s="7" t="s">
        <v>3702</v>
      </c>
      <c r="L20" s="11" t="str">
        <f>HYPERLINK("http://images.bloomingdales.com/is/image/BLM/10498701 ")</f>
        <v xml:space="preserve">http://images.bloomingdales.com/is/image/BLM/10498701 </v>
      </c>
    </row>
    <row r="21" spans="1:12" ht="39.950000000000003" customHeight="1" x14ac:dyDescent="0.25">
      <c r="A21" s="6" t="s">
        <v>3305</v>
      </c>
      <c r="B21" s="7" t="s">
        <v>3306</v>
      </c>
      <c r="C21" s="8">
        <v>2</v>
      </c>
      <c r="D21" s="9">
        <v>310</v>
      </c>
      <c r="E21" s="8" t="s">
        <v>3307</v>
      </c>
      <c r="F21" s="7" t="s">
        <v>3363</v>
      </c>
      <c r="G21" s="10"/>
      <c r="H21" s="7" t="s">
        <v>3418</v>
      </c>
      <c r="I21" s="7" t="s">
        <v>3195</v>
      </c>
      <c r="J21" s="7" t="s">
        <v>3813</v>
      </c>
      <c r="K21" s="7" t="s">
        <v>3702</v>
      </c>
      <c r="L21" s="11" t="str">
        <f>HYPERLINK("http://images.bloomingdales.com/is/image/BLM/10498701 ")</f>
        <v xml:space="preserve">http://images.bloomingdales.com/is/image/BLM/10498701 </v>
      </c>
    </row>
    <row r="22" spans="1:12" ht="39.950000000000003" customHeight="1" x14ac:dyDescent="0.25">
      <c r="A22" s="6" t="s">
        <v>3170</v>
      </c>
      <c r="B22" s="7" t="s">
        <v>3171</v>
      </c>
      <c r="C22" s="8">
        <v>2</v>
      </c>
      <c r="D22" s="9">
        <v>169.98</v>
      </c>
      <c r="E22" s="8" t="s">
        <v>3172</v>
      </c>
      <c r="F22" s="7" t="s">
        <v>3632</v>
      </c>
      <c r="G22" s="10" t="s">
        <v>3645</v>
      </c>
      <c r="H22" s="7" t="s">
        <v>3388</v>
      </c>
      <c r="I22" s="7" t="s">
        <v>3423</v>
      </c>
      <c r="J22" s="7"/>
      <c r="K22" s="7"/>
      <c r="L22" s="11" t="str">
        <f>HYPERLINK("http://slimages.macys.com/is/image/MCY/16911865 ")</f>
        <v xml:space="preserve">http://slimages.macys.com/is/image/MCY/16911865 </v>
      </c>
    </row>
    <row r="23" spans="1:12" ht="39.950000000000003" customHeight="1" x14ac:dyDescent="0.25">
      <c r="A23" s="6" t="s">
        <v>1677</v>
      </c>
      <c r="B23" s="7" t="s">
        <v>1678</v>
      </c>
      <c r="C23" s="8">
        <v>1</v>
      </c>
      <c r="D23" s="9">
        <v>69</v>
      </c>
      <c r="E23" s="8" t="s">
        <v>1679</v>
      </c>
      <c r="F23" s="7" t="s">
        <v>3531</v>
      </c>
      <c r="G23" s="10"/>
      <c r="H23" s="7" t="s">
        <v>3365</v>
      </c>
      <c r="I23" s="7" t="s">
        <v>3558</v>
      </c>
      <c r="J23" s="7" t="s">
        <v>3358</v>
      </c>
      <c r="K23" s="7" t="s">
        <v>1680</v>
      </c>
      <c r="L23" s="11" t="str">
        <f>HYPERLINK("http://slimages.macys.com/is/image/MCY/9706178 ")</f>
        <v xml:space="preserve">http://slimages.macys.com/is/image/MCY/9706178 </v>
      </c>
    </row>
    <row r="24" spans="1:12" ht="39.950000000000003" customHeight="1" x14ac:dyDescent="0.25">
      <c r="A24" s="6" t="s">
        <v>1528</v>
      </c>
      <c r="B24" s="7" t="s">
        <v>1529</v>
      </c>
      <c r="C24" s="8">
        <v>1</v>
      </c>
      <c r="D24" s="9">
        <v>69.989999999999995</v>
      </c>
      <c r="E24" s="8" t="s">
        <v>1530</v>
      </c>
      <c r="F24" s="7" t="s">
        <v>3363</v>
      </c>
      <c r="G24" s="10" t="s">
        <v>3645</v>
      </c>
      <c r="H24" s="7" t="s">
        <v>3388</v>
      </c>
      <c r="I24" s="7" t="s">
        <v>3928</v>
      </c>
      <c r="J24" s="7" t="s">
        <v>3608</v>
      </c>
      <c r="K24" s="7" t="s">
        <v>1531</v>
      </c>
      <c r="L24" s="11" t="str">
        <f>HYPERLINK("http://slimages.macys.com/is/image/MCY/13467258 ")</f>
        <v xml:space="preserve">http://slimages.macys.com/is/image/MCY/13467258 </v>
      </c>
    </row>
    <row r="25" spans="1:12" ht="39.950000000000003" customHeight="1" x14ac:dyDescent="0.25">
      <c r="A25" s="6" t="s">
        <v>1681</v>
      </c>
      <c r="B25" s="7" t="s">
        <v>1682</v>
      </c>
      <c r="C25" s="8">
        <v>1</v>
      </c>
      <c r="D25" s="9">
        <v>109.99</v>
      </c>
      <c r="E25" s="8" t="s">
        <v>1683</v>
      </c>
      <c r="F25" s="7" t="s">
        <v>3525</v>
      </c>
      <c r="G25" s="10"/>
      <c r="H25" s="7" t="s">
        <v>3418</v>
      </c>
      <c r="I25" s="7" t="s">
        <v>3195</v>
      </c>
      <c r="J25" s="7" t="s">
        <v>3813</v>
      </c>
      <c r="K25" s="7" t="s">
        <v>3484</v>
      </c>
      <c r="L25" s="11" t="str">
        <f>HYPERLINK("http://images.bloomingdales.com/is/image/BLM/10474242 ")</f>
        <v xml:space="preserve">http://images.bloomingdales.com/is/image/BLM/10474242 </v>
      </c>
    </row>
    <row r="26" spans="1:12" ht="39.950000000000003" customHeight="1" x14ac:dyDescent="0.25">
      <c r="A26" s="6" t="s">
        <v>1684</v>
      </c>
      <c r="B26" s="7" t="s">
        <v>1685</v>
      </c>
      <c r="C26" s="8">
        <v>1</v>
      </c>
      <c r="D26" s="9">
        <v>79.989999999999995</v>
      </c>
      <c r="E26" s="8" t="s">
        <v>1686</v>
      </c>
      <c r="F26" s="7" t="s">
        <v>3363</v>
      </c>
      <c r="G26" s="10"/>
      <c r="H26" s="7" t="s">
        <v>3365</v>
      </c>
      <c r="I26" s="7" t="s">
        <v>3554</v>
      </c>
      <c r="J26" s="7" t="s">
        <v>3358</v>
      </c>
      <c r="K26" s="7" t="s">
        <v>1687</v>
      </c>
      <c r="L26" s="11" t="str">
        <f>HYPERLINK("http://slimages.macys.com/is/image/MCY/8735474 ")</f>
        <v xml:space="preserve">http://slimages.macys.com/is/image/MCY/8735474 </v>
      </c>
    </row>
    <row r="27" spans="1:12" ht="39.950000000000003" customHeight="1" x14ac:dyDescent="0.25">
      <c r="A27" s="6" t="s">
        <v>1688</v>
      </c>
      <c r="B27" s="7" t="s">
        <v>1689</v>
      </c>
      <c r="C27" s="8">
        <v>1</v>
      </c>
      <c r="D27" s="9">
        <v>36.99</v>
      </c>
      <c r="E27" s="8" t="s">
        <v>1690</v>
      </c>
      <c r="F27" s="7" t="s">
        <v>3371</v>
      </c>
      <c r="G27" s="10"/>
      <c r="H27" s="7" t="s">
        <v>3526</v>
      </c>
      <c r="I27" s="7" t="s">
        <v>3664</v>
      </c>
      <c r="J27" s="7" t="s">
        <v>3358</v>
      </c>
      <c r="K27" s="7" t="s">
        <v>2489</v>
      </c>
      <c r="L27" s="11" t="str">
        <f>HYPERLINK("http://slimages.macys.com/is/image/MCY/11798506 ")</f>
        <v xml:space="preserve">http://slimages.macys.com/is/image/MCY/11798506 </v>
      </c>
    </row>
    <row r="28" spans="1:12" ht="39.950000000000003" customHeight="1" x14ac:dyDescent="0.25">
      <c r="A28" s="6" t="s">
        <v>1558</v>
      </c>
      <c r="B28" s="7" t="s">
        <v>1559</v>
      </c>
      <c r="C28" s="8">
        <v>1</v>
      </c>
      <c r="D28" s="9">
        <v>49.99</v>
      </c>
      <c r="E28" s="8" t="s">
        <v>1560</v>
      </c>
      <c r="F28" s="7" t="s">
        <v>3363</v>
      </c>
      <c r="G28" s="10"/>
      <c r="H28" s="7" t="s">
        <v>3412</v>
      </c>
      <c r="I28" s="7" t="s">
        <v>3413</v>
      </c>
      <c r="J28" s="7" t="s">
        <v>3358</v>
      </c>
      <c r="K28" s="7" t="s">
        <v>4098</v>
      </c>
      <c r="L28" s="11" t="str">
        <f>HYPERLINK("http://slimages.macys.com/is/image/MCY/9330026 ")</f>
        <v xml:space="preserve">http://slimages.macys.com/is/image/MCY/9330026 </v>
      </c>
    </row>
    <row r="29" spans="1:12" ht="39.950000000000003" customHeight="1" x14ac:dyDescent="0.25">
      <c r="A29" s="6" t="s">
        <v>1691</v>
      </c>
      <c r="B29" s="7" t="s">
        <v>1692</v>
      </c>
      <c r="C29" s="8">
        <v>2</v>
      </c>
      <c r="D29" s="9">
        <v>99.98</v>
      </c>
      <c r="E29" s="8" t="s">
        <v>1693</v>
      </c>
      <c r="F29" s="7" t="s">
        <v>3363</v>
      </c>
      <c r="G29" s="10" t="s">
        <v>3645</v>
      </c>
      <c r="H29" s="7" t="s">
        <v>3388</v>
      </c>
      <c r="I29" s="7" t="s">
        <v>3461</v>
      </c>
      <c r="J29" s="7"/>
      <c r="K29" s="7"/>
      <c r="L29" s="11" t="str">
        <f>HYPERLINK("http://slimages.macys.com/is/image/MCY/18347011 ")</f>
        <v xml:space="preserve">http://slimages.macys.com/is/image/MCY/18347011 </v>
      </c>
    </row>
    <row r="30" spans="1:12" ht="39.950000000000003" customHeight="1" x14ac:dyDescent="0.25">
      <c r="A30" s="6" t="s">
        <v>1694</v>
      </c>
      <c r="B30" s="7" t="s">
        <v>1695</v>
      </c>
      <c r="C30" s="8">
        <v>1</v>
      </c>
      <c r="D30" s="9">
        <v>50</v>
      </c>
      <c r="E30" s="8">
        <v>21412</v>
      </c>
      <c r="F30" s="7" t="s">
        <v>3525</v>
      </c>
      <c r="G30" s="10" t="s">
        <v>3504</v>
      </c>
      <c r="H30" s="7" t="s">
        <v>4165</v>
      </c>
      <c r="I30" s="7" t="s">
        <v>1430</v>
      </c>
      <c r="J30" s="7" t="s">
        <v>3358</v>
      </c>
      <c r="K30" s="7"/>
      <c r="L30" s="11" t="str">
        <f>HYPERLINK("http://images.bloomingdales.com/is/image/BLM/8140411 ")</f>
        <v xml:space="preserve">http://images.bloomingdales.com/is/image/BLM/8140411 </v>
      </c>
    </row>
    <row r="31" spans="1:12" ht="39.950000000000003" customHeight="1" x14ac:dyDescent="0.25">
      <c r="A31" s="6" t="s">
        <v>1696</v>
      </c>
      <c r="B31" s="7" t="s">
        <v>1697</v>
      </c>
      <c r="C31" s="8">
        <v>1</v>
      </c>
      <c r="D31" s="9">
        <v>44.99</v>
      </c>
      <c r="E31" s="8" t="s">
        <v>1698</v>
      </c>
      <c r="F31" s="7" t="s">
        <v>3363</v>
      </c>
      <c r="G31" s="10" t="s">
        <v>3663</v>
      </c>
      <c r="H31" s="7" t="s">
        <v>3388</v>
      </c>
      <c r="I31" s="7" t="s">
        <v>4128</v>
      </c>
      <c r="J31" s="7" t="s">
        <v>3358</v>
      </c>
      <c r="K31" s="7" t="s">
        <v>1699</v>
      </c>
      <c r="L31" s="11" t="str">
        <f>HYPERLINK("http://slimages.macys.com/is/image/MCY/15719985 ")</f>
        <v xml:space="preserve">http://slimages.macys.com/is/image/MCY/15719985 </v>
      </c>
    </row>
    <row r="32" spans="1:12" ht="39.950000000000003" customHeight="1" x14ac:dyDescent="0.25">
      <c r="A32" s="6" t="s">
        <v>3902</v>
      </c>
      <c r="B32" s="7" t="s">
        <v>3903</v>
      </c>
      <c r="C32" s="8">
        <v>1</v>
      </c>
      <c r="D32" s="9">
        <v>59.99</v>
      </c>
      <c r="E32" s="8">
        <v>10004897500</v>
      </c>
      <c r="F32" s="7" t="s">
        <v>3904</v>
      </c>
      <c r="G32" s="10"/>
      <c r="H32" s="7" t="s">
        <v>3658</v>
      </c>
      <c r="I32" s="7" t="s">
        <v>3905</v>
      </c>
      <c r="J32" s="7" t="s">
        <v>3358</v>
      </c>
      <c r="K32" s="7"/>
      <c r="L32" s="11" t="str">
        <f>HYPERLINK("http://slimages.macys.com/is/image/MCY/14823286 ")</f>
        <v xml:space="preserve">http://slimages.macys.com/is/image/MCY/14823286 </v>
      </c>
    </row>
    <row r="33" spans="1:12" ht="39.950000000000003" customHeight="1" x14ac:dyDescent="0.25">
      <c r="A33" s="6" t="s">
        <v>1700</v>
      </c>
      <c r="B33" s="7" t="s">
        <v>1701</v>
      </c>
      <c r="C33" s="8">
        <v>2</v>
      </c>
      <c r="D33" s="9">
        <v>53.98</v>
      </c>
      <c r="E33" s="8" t="s">
        <v>1702</v>
      </c>
      <c r="F33" s="7" t="s">
        <v>3668</v>
      </c>
      <c r="G33" s="10" t="s">
        <v>3504</v>
      </c>
      <c r="H33" s="7" t="s">
        <v>3356</v>
      </c>
      <c r="I33" s="7" t="s">
        <v>3505</v>
      </c>
      <c r="J33" s="7" t="s">
        <v>3358</v>
      </c>
      <c r="K33" s="7" t="s">
        <v>1703</v>
      </c>
      <c r="L33" s="11" t="str">
        <f>HYPERLINK("http://slimages.macys.com/is/image/MCY/16276337 ")</f>
        <v xml:space="preserve">http://slimages.macys.com/is/image/MCY/16276337 </v>
      </c>
    </row>
    <row r="34" spans="1:12" ht="39.950000000000003" customHeight="1" x14ac:dyDescent="0.25">
      <c r="A34" s="6" t="s">
        <v>1704</v>
      </c>
      <c r="B34" s="7" t="s">
        <v>1705</v>
      </c>
      <c r="C34" s="8">
        <v>1</v>
      </c>
      <c r="D34" s="9">
        <v>67</v>
      </c>
      <c r="E34" s="8">
        <v>21895505</v>
      </c>
      <c r="F34" s="7" t="s">
        <v>4021</v>
      </c>
      <c r="G34" s="10" t="s">
        <v>1706</v>
      </c>
      <c r="H34" s="7" t="s">
        <v>3397</v>
      </c>
      <c r="I34" s="7" t="s">
        <v>1707</v>
      </c>
      <c r="J34" s="7" t="s">
        <v>3813</v>
      </c>
      <c r="K34" s="7" t="s">
        <v>3484</v>
      </c>
      <c r="L34" s="11" t="str">
        <f>HYPERLINK("http://images.bloomingdales.com/is/image/BLM/10842436 ")</f>
        <v xml:space="preserve">http://images.bloomingdales.com/is/image/BLM/10842436 </v>
      </c>
    </row>
    <row r="35" spans="1:12" ht="39.950000000000003" customHeight="1" x14ac:dyDescent="0.25">
      <c r="A35" s="6" t="s">
        <v>1708</v>
      </c>
      <c r="B35" s="7" t="s">
        <v>1709</v>
      </c>
      <c r="C35" s="8">
        <v>1</v>
      </c>
      <c r="D35" s="9">
        <v>44.99</v>
      </c>
      <c r="E35" s="8" t="s">
        <v>1710</v>
      </c>
      <c r="F35" s="7" t="s">
        <v>3531</v>
      </c>
      <c r="G35" s="10"/>
      <c r="H35" s="7" t="s">
        <v>3408</v>
      </c>
      <c r="I35" s="7" t="s">
        <v>3409</v>
      </c>
      <c r="J35" s="7"/>
      <c r="K35" s="7"/>
      <c r="L35" s="11" t="str">
        <f>HYPERLINK("http://slimages.macys.com/is/image/MCY/18221334 ")</f>
        <v xml:space="preserve">http://slimages.macys.com/is/image/MCY/18221334 </v>
      </c>
    </row>
    <row r="36" spans="1:12" ht="39.950000000000003" customHeight="1" x14ac:dyDescent="0.25">
      <c r="A36" s="6" t="s">
        <v>1711</v>
      </c>
      <c r="B36" s="7" t="s">
        <v>1412</v>
      </c>
      <c r="C36" s="8">
        <v>1</v>
      </c>
      <c r="D36" s="9">
        <v>90</v>
      </c>
      <c r="E36" s="8" t="s">
        <v>1712</v>
      </c>
      <c r="F36" s="7" t="s">
        <v>3384</v>
      </c>
      <c r="G36" s="10"/>
      <c r="H36" s="7" t="s">
        <v>3365</v>
      </c>
      <c r="I36" s="7" t="s">
        <v>3855</v>
      </c>
      <c r="J36" s="7" t="s">
        <v>3751</v>
      </c>
      <c r="K36" s="7" t="s">
        <v>1414</v>
      </c>
      <c r="L36" s="11" t="str">
        <f>HYPERLINK("http://images.bloomingdales.com/is/image/BLM/8987298 ")</f>
        <v xml:space="preserve">http://images.bloomingdales.com/is/image/BLM/8987298 </v>
      </c>
    </row>
    <row r="37" spans="1:12" ht="39.950000000000003" customHeight="1" x14ac:dyDescent="0.25">
      <c r="A37" s="6" t="s">
        <v>1713</v>
      </c>
      <c r="B37" s="7" t="s">
        <v>1714</v>
      </c>
      <c r="C37" s="8">
        <v>3</v>
      </c>
      <c r="D37" s="9">
        <v>119.97</v>
      </c>
      <c r="E37" s="8" t="s">
        <v>1715</v>
      </c>
      <c r="F37" s="7" t="s">
        <v>3363</v>
      </c>
      <c r="G37" s="10" t="s">
        <v>3504</v>
      </c>
      <c r="H37" s="7" t="s">
        <v>3492</v>
      </c>
      <c r="I37" s="7" t="s">
        <v>1716</v>
      </c>
      <c r="J37" s="7"/>
      <c r="K37" s="7"/>
      <c r="L37" s="11" t="str">
        <f>HYPERLINK("http://slimages.macys.com/is/image/MCY/17383905 ")</f>
        <v xml:space="preserve">http://slimages.macys.com/is/image/MCY/17383905 </v>
      </c>
    </row>
    <row r="38" spans="1:12" ht="39.950000000000003" customHeight="1" x14ac:dyDescent="0.25">
      <c r="A38" s="6" t="s">
        <v>1717</v>
      </c>
      <c r="B38" s="7" t="s">
        <v>1718</v>
      </c>
      <c r="C38" s="8">
        <v>1</v>
      </c>
      <c r="D38" s="9">
        <v>31.99</v>
      </c>
      <c r="E38" s="8" t="s">
        <v>1719</v>
      </c>
      <c r="F38" s="7" t="s">
        <v>4219</v>
      </c>
      <c r="G38" s="10"/>
      <c r="H38" s="7" t="s">
        <v>3372</v>
      </c>
      <c r="I38" s="7" t="s">
        <v>1542</v>
      </c>
      <c r="J38" s="7" t="s">
        <v>3358</v>
      </c>
      <c r="K38" s="7" t="s">
        <v>1543</v>
      </c>
      <c r="L38" s="11" t="str">
        <f>HYPERLINK("http://slimages.macys.com/is/image/MCY/10481585 ")</f>
        <v xml:space="preserve">http://slimages.macys.com/is/image/MCY/10481585 </v>
      </c>
    </row>
    <row r="39" spans="1:12" ht="39.950000000000003" customHeight="1" x14ac:dyDescent="0.25">
      <c r="A39" s="6" t="s">
        <v>1720</v>
      </c>
      <c r="B39" s="7" t="s">
        <v>1721</v>
      </c>
      <c r="C39" s="8">
        <v>1</v>
      </c>
      <c r="D39" s="9">
        <v>95</v>
      </c>
      <c r="E39" s="8" t="s">
        <v>1722</v>
      </c>
      <c r="F39" s="7" t="s">
        <v>3525</v>
      </c>
      <c r="G39" s="10"/>
      <c r="H39" s="7" t="s">
        <v>3515</v>
      </c>
      <c r="I39" s="7" t="s">
        <v>1723</v>
      </c>
      <c r="J39" s="7" t="s">
        <v>3692</v>
      </c>
      <c r="K39" s="7" t="s">
        <v>3582</v>
      </c>
      <c r="L39" s="11" t="str">
        <f>HYPERLINK("http://images.bloomingdales.com/is/image/BLM/9818908 ")</f>
        <v xml:space="preserve">http://images.bloomingdales.com/is/image/BLM/9818908 </v>
      </c>
    </row>
    <row r="40" spans="1:12" ht="39.950000000000003" customHeight="1" x14ac:dyDescent="0.25">
      <c r="A40" s="6" t="s">
        <v>1724</v>
      </c>
      <c r="B40" s="7" t="s">
        <v>1725</v>
      </c>
      <c r="C40" s="8">
        <v>1</v>
      </c>
      <c r="D40" s="9">
        <v>26.99</v>
      </c>
      <c r="E40" s="8" t="s">
        <v>1726</v>
      </c>
      <c r="F40" s="7" t="s">
        <v>3443</v>
      </c>
      <c r="G40" s="10" t="s">
        <v>3453</v>
      </c>
      <c r="H40" s="7" t="s">
        <v>3492</v>
      </c>
      <c r="I40" s="7" t="s">
        <v>3436</v>
      </c>
      <c r="J40" s="7" t="s">
        <v>3358</v>
      </c>
      <c r="K40" s="7" t="s">
        <v>1727</v>
      </c>
      <c r="L40" s="11" t="str">
        <f>HYPERLINK("http://slimages.macys.com/is/image/MCY/9613901 ")</f>
        <v xml:space="preserve">http://slimages.macys.com/is/image/MCY/9613901 </v>
      </c>
    </row>
    <row r="41" spans="1:12" ht="39.950000000000003" customHeight="1" x14ac:dyDescent="0.25">
      <c r="A41" s="6" t="s">
        <v>1728</v>
      </c>
      <c r="B41" s="7" t="s">
        <v>1729</v>
      </c>
      <c r="C41" s="8">
        <v>1</v>
      </c>
      <c r="D41" s="9">
        <v>55</v>
      </c>
      <c r="E41" s="8" t="s">
        <v>1730</v>
      </c>
      <c r="F41" s="7" t="s">
        <v>3937</v>
      </c>
      <c r="G41" s="10" t="s">
        <v>3504</v>
      </c>
      <c r="H41" s="7" t="s">
        <v>3471</v>
      </c>
      <c r="I41" s="7" t="s">
        <v>3335</v>
      </c>
      <c r="J41" s="7"/>
      <c r="K41" s="7"/>
      <c r="L41" s="11" t="str">
        <f>HYPERLINK("http://slimages.macys.com/is/image/MCY/18233895 ")</f>
        <v xml:space="preserve">http://slimages.macys.com/is/image/MCY/18233895 </v>
      </c>
    </row>
    <row r="42" spans="1:12" ht="39.950000000000003" customHeight="1" x14ac:dyDescent="0.25">
      <c r="A42" s="6" t="s">
        <v>1731</v>
      </c>
      <c r="B42" s="7" t="s">
        <v>1732</v>
      </c>
      <c r="C42" s="8">
        <v>1</v>
      </c>
      <c r="D42" s="9">
        <v>29.99</v>
      </c>
      <c r="E42" s="8" t="s">
        <v>1733</v>
      </c>
      <c r="F42" s="7"/>
      <c r="G42" s="10"/>
      <c r="H42" s="7" t="s">
        <v>3412</v>
      </c>
      <c r="I42" s="7" t="s">
        <v>3969</v>
      </c>
      <c r="J42" s="7" t="s">
        <v>3358</v>
      </c>
      <c r="K42" s="7" t="s">
        <v>3390</v>
      </c>
      <c r="L42" s="11" t="str">
        <f>HYPERLINK("http://slimages.macys.com/is/image/MCY/16635186 ")</f>
        <v xml:space="preserve">http://slimages.macys.com/is/image/MCY/16635186 </v>
      </c>
    </row>
    <row r="43" spans="1:12" ht="39.950000000000003" customHeight="1" x14ac:dyDescent="0.25">
      <c r="A43" s="6" t="s">
        <v>1734</v>
      </c>
      <c r="B43" s="7" t="s">
        <v>1735</v>
      </c>
      <c r="C43" s="8">
        <v>1</v>
      </c>
      <c r="D43" s="9">
        <v>19.989999999999998</v>
      </c>
      <c r="E43" s="8" t="s">
        <v>1736</v>
      </c>
      <c r="F43" s="7" t="s">
        <v>3363</v>
      </c>
      <c r="G43" s="10"/>
      <c r="H43" s="7" t="s">
        <v>3492</v>
      </c>
      <c r="I43" s="7" t="s">
        <v>3536</v>
      </c>
      <c r="J43" s="7"/>
      <c r="K43" s="7"/>
      <c r="L43" s="11" t="str">
        <f>HYPERLINK("http://slimages.macys.com/is/image/MCY/17793803 ")</f>
        <v xml:space="preserve">http://slimages.macys.com/is/image/MCY/17793803 </v>
      </c>
    </row>
    <row r="44" spans="1:12" ht="39.950000000000003" customHeight="1" x14ac:dyDescent="0.25">
      <c r="A44" s="6" t="s">
        <v>3994</v>
      </c>
      <c r="B44" s="7" t="s">
        <v>3995</v>
      </c>
      <c r="C44" s="8">
        <v>1</v>
      </c>
      <c r="D44" s="9">
        <v>36</v>
      </c>
      <c r="E44" s="8">
        <v>50049</v>
      </c>
      <c r="F44" s="7" t="s">
        <v>3363</v>
      </c>
      <c r="G44" s="10" t="s">
        <v>3460</v>
      </c>
      <c r="H44" s="7" t="s">
        <v>3471</v>
      </c>
      <c r="I44" s="7" t="s">
        <v>3928</v>
      </c>
      <c r="J44" s="7" t="s">
        <v>3379</v>
      </c>
      <c r="K44" s="7" t="s">
        <v>3959</v>
      </c>
      <c r="L44" s="11" t="str">
        <f>HYPERLINK("http://images.bloomingdales.com/is/image/BLM/9098968 ")</f>
        <v xml:space="preserve">http://images.bloomingdales.com/is/image/BLM/9098968 </v>
      </c>
    </row>
    <row r="45" spans="1:12" ht="39.950000000000003" customHeight="1" x14ac:dyDescent="0.25">
      <c r="A45" s="6" t="s">
        <v>1737</v>
      </c>
      <c r="B45" s="7" t="s">
        <v>1738</v>
      </c>
      <c r="C45" s="8">
        <v>1</v>
      </c>
      <c r="D45" s="9">
        <v>14.99</v>
      </c>
      <c r="E45" s="8" t="s">
        <v>1739</v>
      </c>
      <c r="F45" s="7" t="s">
        <v>3384</v>
      </c>
      <c r="G45" s="10"/>
      <c r="H45" s="7" t="s">
        <v>3412</v>
      </c>
      <c r="I45" s="7" t="s">
        <v>3436</v>
      </c>
      <c r="J45" s="7" t="s">
        <v>3358</v>
      </c>
      <c r="K45" s="7" t="s">
        <v>3390</v>
      </c>
      <c r="L45" s="11" t="str">
        <f>HYPERLINK("http://slimages.macys.com/is/image/MCY/10073922 ")</f>
        <v xml:space="preserve">http://slimages.macys.com/is/image/MCY/10073922 </v>
      </c>
    </row>
    <row r="46" spans="1:12" ht="39.950000000000003" customHeight="1" x14ac:dyDescent="0.25">
      <c r="A46" s="6" t="s">
        <v>1740</v>
      </c>
      <c r="B46" s="7" t="s">
        <v>1741</v>
      </c>
      <c r="C46" s="8">
        <v>2</v>
      </c>
      <c r="D46" s="9">
        <v>29.98</v>
      </c>
      <c r="E46" s="8" t="s">
        <v>1742</v>
      </c>
      <c r="F46" s="7" t="s">
        <v>3781</v>
      </c>
      <c r="G46" s="10"/>
      <c r="H46" s="7" t="s">
        <v>3412</v>
      </c>
      <c r="I46" s="7" t="s">
        <v>3436</v>
      </c>
      <c r="J46" s="7" t="s">
        <v>3358</v>
      </c>
      <c r="K46" s="7" t="s">
        <v>3390</v>
      </c>
      <c r="L46" s="11" t="str">
        <f>HYPERLINK("http://slimages.macys.com/is/image/MCY/10073919 ")</f>
        <v xml:space="preserve">http://slimages.macys.com/is/image/MCY/10073919 </v>
      </c>
    </row>
    <row r="47" spans="1:12" ht="39.950000000000003" customHeight="1" x14ac:dyDescent="0.25">
      <c r="A47" s="6" t="s">
        <v>1743</v>
      </c>
      <c r="B47" s="7" t="s">
        <v>1744</v>
      </c>
      <c r="C47" s="8">
        <v>1</v>
      </c>
      <c r="D47" s="9">
        <v>14.99</v>
      </c>
      <c r="E47" s="8" t="s">
        <v>1745</v>
      </c>
      <c r="F47" s="7" t="s">
        <v>3525</v>
      </c>
      <c r="G47" s="10"/>
      <c r="H47" s="7" t="s">
        <v>3412</v>
      </c>
      <c r="I47" s="7" t="s">
        <v>3436</v>
      </c>
      <c r="J47" s="7" t="s">
        <v>3358</v>
      </c>
      <c r="K47" s="7" t="s">
        <v>3390</v>
      </c>
      <c r="L47" s="11" t="str">
        <f>HYPERLINK("http://slimages.macys.com/is/image/MCY/10073890 ")</f>
        <v xml:space="preserve">http://slimages.macys.com/is/image/MCY/10073890 </v>
      </c>
    </row>
    <row r="48" spans="1:12" ht="39.950000000000003" customHeight="1" x14ac:dyDescent="0.25">
      <c r="A48" s="6" t="s">
        <v>1746</v>
      </c>
      <c r="B48" s="7" t="s">
        <v>1747</v>
      </c>
      <c r="C48" s="8">
        <v>1</v>
      </c>
      <c r="D48" s="9">
        <v>16.989999999999998</v>
      </c>
      <c r="E48" s="8" t="s">
        <v>1748</v>
      </c>
      <c r="F48" s="7" t="s">
        <v>3396</v>
      </c>
      <c r="G48" s="10" t="s">
        <v>3532</v>
      </c>
      <c r="H48" s="7" t="s">
        <v>3482</v>
      </c>
      <c r="I48" s="7" t="s">
        <v>3618</v>
      </c>
      <c r="J48" s="7" t="s">
        <v>3358</v>
      </c>
      <c r="K48" s="7" t="s">
        <v>3484</v>
      </c>
      <c r="L48" s="11" t="str">
        <f>HYPERLINK("http://slimages.macys.com/is/image/MCY/12737864 ")</f>
        <v xml:space="preserve">http://slimages.macys.com/is/image/MCY/12737864 </v>
      </c>
    </row>
    <row r="49" spans="1:12" ht="39.950000000000003" customHeight="1" x14ac:dyDescent="0.25">
      <c r="A49" s="6" t="s">
        <v>1749</v>
      </c>
      <c r="B49" s="7" t="s">
        <v>1665</v>
      </c>
      <c r="C49" s="8">
        <v>1</v>
      </c>
      <c r="D49" s="9">
        <v>60</v>
      </c>
      <c r="E49" s="8" t="s">
        <v>1750</v>
      </c>
      <c r="F49" s="7" t="s">
        <v>3617</v>
      </c>
      <c r="G49" s="10"/>
      <c r="H49" s="7" t="s">
        <v>3418</v>
      </c>
      <c r="I49" s="7" t="s">
        <v>3195</v>
      </c>
      <c r="J49" s="7" t="s">
        <v>3813</v>
      </c>
      <c r="K49" s="7" t="s">
        <v>1667</v>
      </c>
      <c r="L49" s="11" t="str">
        <f>HYPERLINK("http://images.bloomingdales.com/is/image/BLM/10151531 ")</f>
        <v xml:space="preserve">http://images.bloomingdales.com/is/image/BLM/10151531 </v>
      </c>
    </row>
    <row r="50" spans="1:12" ht="39.950000000000003" customHeight="1" x14ac:dyDescent="0.25">
      <c r="A50" s="6" t="s">
        <v>1751</v>
      </c>
      <c r="B50" s="7" t="s">
        <v>1752</v>
      </c>
      <c r="C50" s="8">
        <v>1</v>
      </c>
      <c r="D50" s="9">
        <v>30</v>
      </c>
      <c r="E50" s="8">
        <v>1004097900</v>
      </c>
      <c r="F50" s="7" t="s">
        <v>3673</v>
      </c>
      <c r="G50" s="10" t="s">
        <v>3532</v>
      </c>
      <c r="H50" s="7" t="s">
        <v>3372</v>
      </c>
      <c r="I50" s="7" t="s">
        <v>1753</v>
      </c>
      <c r="J50" s="7" t="s">
        <v>3813</v>
      </c>
      <c r="K50" s="7" t="s">
        <v>4138</v>
      </c>
      <c r="L50" s="11" t="str">
        <f>HYPERLINK("http://images.bloomingdales.com/is/image/BLM/10230660 ")</f>
        <v xml:space="preserve">http://images.bloomingdales.com/is/image/BLM/10230660 </v>
      </c>
    </row>
    <row r="51" spans="1:12" ht="39.950000000000003" customHeight="1" x14ac:dyDescent="0.25">
      <c r="A51" s="6" t="s">
        <v>1754</v>
      </c>
      <c r="B51" s="7" t="s">
        <v>1755</v>
      </c>
      <c r="C51" s="8">
        <v>1</v>
      </c>
      <c r="D51" s="9">
        <v>27.99</v>
      </c>
      <c r="E51" s="8" t="s">
        <v>1756</v>
      </c>
      <c r="F51" s="7" t="s">
        <v>3384</v>
      </c>
      <c r="G51" s="10"/>
      <c r="H51" s="7" t="s">
        <v>3412</v>
      </c>
      <c r="I51" s="7" t="s">
        <v>3436</v>
      </c>
      <c r="J51" s="7" t="s">
        <v>3358</v>
      </c>
      <c r="K51" s="7" t="s">
        <v>3506</v>
      </c>
      <c r="L51" s="11" t="str">
        <f>HYPERLINK("http://slimages.macys.com/is/image/MCY/15706387 ")</f>
        <v xml:space="preserve">http://slimages.macys.com/is/image/MCY/15706387 </v>
      </c>
    </row>
    <row r="52" spans="1:12" ht="39.950000000000003" customHeight="1" x14ac:dyDescent="0.25">
      <c r="A52" s="6" t="s">
        <v>2597</v>
      </c>
      <c r="B52" s="7" t="s">
        <v>2598</v>
      </c>
      <c r="C52" s="8">
        <v>2</v>
      </c>
      <c r="D52" s="9">
        <v>165</v>
      </c>
      <c r="E52" s="8"/>
      <c r="F52" s="7" t="s">
        <v>3542</v>
      </c>
      <c r="G52" s="10" t="s">
        <v>3504</v>
      </c>
      <c r="H52" s="7" t="s">
        <v>3543</v>
      </c>
      <c r="I52" s="7" t="s">
        <v>3544</v>
      </c>
      <c r="J52" s="7"/>
      <c r="K52" s="7"/>
      <c r="L52" s="11"/>
    </row>
    <row r="53" spans="1:12" ht="39.950000000000003" customHeight="1" x14ac:dyDescent="0.25">
      <c r="A53" s="6" t="s">
        <v>3540</v>
      </c>
      <c r="B53" s="7" t="s">
        <v>3541</v>
      </c>
      <c r="C53" s="8">
        <v>2</v>
      </c>
      <c r="D53" s="9">
        <v>80</v>
      </c>
      <c r="E53" s="8"/>
      <c r="F53" s="7" t="s">
        <v>3542</v>
      </c>
      <c r="G53" s="10" t="s">
        <v>3504</v>
      </c>
      <c r="H53" s="7" t="s">
        <v>3543</v>
      </c>
      <c r="I53" s="7" t="s">
        <v>3544</v>
      </c>
      <c r="J53" s="7"/>
      <c r="K53" s="7"/>
      <c r="L53" s="11"/>
    </row>
    <row r="54" spans="1:12" ht="39.950000000000003" customHeight="1" x14ac:dyDescent="0.25">
      <c r="A54" s="6" t="s">
        <v>1757</v>
      </c>
      <c r="B54" s="7" t="s">
        <v>1758</v>
      </c>
      <c r="C54" s="8">
        <v>1</v>
      </c>
      <c r="D54" s="9">
        <v>55</v>
      </c>
      <c r="E54" s="8" t="s">
        <v>1759</v>
      </c>
      <c r="F54" s="7" t="s">
        <v>4021</v>
      </c>
      <c r="G54" s="10" t="s">
        <v>3504</v>
      </c>
      <c r="H54" s="7" t="s">
        <v>3471</v>
      </c>
      <c r="I54" s="7" t="s">
        <v>3335</v>
      </c>
      <c r="J54" s="7"/>
      <c r="K54" s="7"/>
      <c r="L54" s="11"/>
    </row>
    <row r="55" spans="1:12" ht="39.950000000000003" customHeight="1" x14ac:dyDescent="0.25">
      <c r="A55" s="6" t="s">
        <v>1760</v>
      </c>
      <c r="B55" s="7" t="s">
        <v>1761</v>
      </c>
      <c r="C55" s="8">
        <v>1</v>
      </c>
      <c r="D55" s="9">
        <v>55</v>
      </c>
      <c r="E55" s="8" t="s">
        <v>1762</v>
      </c>
      <c r="F55" s="7" t="s">
        <v>3384</v>
      </c>
      <c r="G55" s="10" t="s">
        <v>3504</v>
      </c>
      <c r="H55" s="7" t="s">
        <v>3471</v>
      </c>
      <c r="I55" s="7" t="s">
        <v>3335</v>
      </c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  <row r="57" spans="1:12" ht="39.950000000000003" customHeight="1" x14ac:dyDescent="0.25">
      <c r="A57" s="6"/>
      <c r="B57" s="7"/>
      <c r="C57" s="8"/>
      <c r="D57" s="9"/>
      <c r="E57" s="8"/>
      <c r="F57" s="7"/>
      <c r="G57" s="10"/>
      <c r="H57" s="7"/>
      <c r="I57" s="7"/>
      <c r="J57" s="7"/>
      <c r="K57" s="7"/>
      <c r="L57" s="11"/>
    </row>
    <row r="58" spans="1:12" ht="39.950000000000003" customHeight="1" x14ac:dyDescent="0.25">
      <c r="A58" s="6"/>
      <c r="B58" s="7"/>
      <c r="C58" s="8"/>
      <c r="D58" s="9"/>
      <c r="E58" s="8"/>
      <c r="F58" s="7"/>
      <c r="G58" s="10"/>
      <c r="H58" s="7"/>
      <c r="I58" s="7"/>
      <c r="J58" s="7"/>
      <c r="K58" s="7"/>
      <c r="L58" s="11"/>
    </row>
    <row r="59" spans="1:12" ht="39.950000000000003" customHeight="1" x14ac:dyDescent="0.25">
      <c r="A59" s="6"/>
      <c r="B59" s="7"/>
      <c r="C59" s="8"/>
      <c r="D59" s="9"/>
      <c r="E59" s="8"/>
      <c r="F59" s="7"/>
      <c r="G59" s="10"/>
      <c r="H59" s="7"/>
      <c r="I59" s="7"/>
      <c r="J59" s="7"/>
      <c r="K59" s="7"/>
      <c r="L59" s="11"/>
    </row>
    <row r="60" spans="1:12" ht="39.950000000000003" customHeight="1" x14ac:dyDescent="0.25">
      <c r="A60" s="6"/>
      <c r="B60" s="7"/>
      <c r="C60" s="8"/>
      <c r="D60" s="9"/>
      <c r="E60" s="8"/>
      <c r="F60" s="7"/>
      <c r="G60" s="10"/>
      <c r="H60" s="7"/>
      <c r="I60" s="7"/>
      <c r="J60" s="7"/>
      <c r="K60" s="7"/>
      <c r="L60" s="11"/>
    </row>
    <row r="61" spans="1:12" ht="39.950000000000003" customHeight="1" x14ac:dyDescent="0.25">
      <c r="A61" s="6"/>
      <c r="B61" s="7"/>
      <c r="C61" s="8"/>
      <c r="D61" s="9"/>
      <c r="E61" s="8"/>
      <c r="F61" s="7"/>
      <c r="G61" s="10"/>
      <c r="H61" s="7"/>
      <c r="I61" s="7"/>
      <c r="J61" s="7"/>
      <c r="K61" s="7"/>
      <c r="L61" s="11"/>
    </row>
    <row r="62" spans="1:12" ht="39.950000000000003" customHeight="1" x14ac:dyDescent="0.25">
      <c r="A62" s="6"/>
      <c r="B62" s="7"/>
      <c r="C62" s="8"/>
      <c r="D62" s="9"/>
      <c r="E62" s="8"/>
      <c r="F62" s="7"/>
      <c r="G62" s="10"/>
      <c r="H62" s="7"/>
      <c r="I62" s="7"/>
      <c r="J62" s="7"/>
      <c r="K62" s="7"/>
      <c r="L62" s="11"/>
    </row>
    <row r="63" spans="1:12" ht="39.950000000000003" customHeight="1" x14ac:dyDescent="0.25">
      <c r="A63" s="6"/>
      <c r="B63" s="7"/>
      <c r="C63" s="8"/>
      <c r="D63" s="9"/>
      <c r="E63" s="8"/>
      <c r="F63" s="7"/>
      <c r="G63" s="10"/>
      <c r="H63" s="7"/>
      <c r="I63" s="7"/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1763</v>
      </c>
      <c r="B2" s="7" t="s">
        <v>1764</v>
      </c>
      <c r="C2" s="8">
        <v>1</v>
      </c>
      <c r="D2" s="9">
        <v>399</v>
      </c>
      <c r="E2" s="8" t="s">
        <v>1765</v>
      </c>
      <c r="F2" s="7" t="s">
        <v>3802</v>
      </c>
      <c r="G2" s="10"/>
      <c r="H2" s="7" t="s">
        <v>3412</v>
      </c>
      <c r="I2" s="7" t="s">
        <v>1511</v>
      </c>
      <c r="J2" s="7" t="s">
        <v>3692</v>
      </c>
      <c r="K2" s="7" t="s">
        <v>1766</v>
      </c>
      <c r="L2" s="11" t="str">
        <f>HYPERLINK("http://images.bloomingdales.com/is/image/BLM/8417099 ")</f>
        <v xml:space="preserve">http://images.bloomingdales.com/is/image/BLM/8417099 </v>
      </c>
    </row>
    <row r="3" spans="1:12" ht="39.950000000000003" customHeight="1" x14ac:dyDescent="0.25">
      <c r="A3" s="6" t="s">
        <v>1767</v>
      </c>
      <c r="B3" s="7" t="s">
        <v>1768</v>
      </c>
      <c r="C3" s="8">
        <v>1</v>
      </c>
      <c r="D3" s="9">
        <v>249.99</v>
      </c>
      <c r="E3" s="8" t="s">
        <v>1769</v>
      </c>
      <c r="F3" s="7" t="s">
        <v>3925</v>
      </c>
      <c r="G3" s="10"/>
      <c r="H3" s="7" t="s">
        <v>3365</v>
      </c>
      <c r="I3" s="7" t="s">
        <v>2522</v>
      </c>
      <c r="J3" s="7" t="s">
        <v>3751</v>
      </c>
      <c r="K3" s="7" t="s">
        <v>1770</v>
      </c>
      <c r="L3" s="11" t="str">
        <f>HYPERLINK("http://slimages.macys.com/is/image/MCY/12354497 ")</f>
        <v xml:space="preserve">http://slimages.macys.com/is/image/MCY/12354497 </v>
      </c>
    </row>
    <row r="4" spans="1:12" ht="39.950000000000003" customHeight="1" x14ac:dyDescent="0.25">
      <c r="A4" s="6" t="s">
        <v>1771</v>
      </c>
      <c r="B4" s="7" t="s">
        <v>1772</v>
      </c>
      <c r="C4" s="8">
        <v>1</v>
      </c>
      <c r="D4" s="9">
        <v>199.99</v>
      </c>
      <c r="E4" s="8" t="s">
        <v>1773</v>
      </c>
      <c r="F4" s="7" t="s">
        <v>3498</v>
      </c>
      <c r="G4" s="10"/>
      <c r="H4" s="7" t="s">
        <v>3876</v>
      </c>
      <c r="I4" s="7" t="s">
        <v>3894</v>
      </c>
      <c r="J4" s="7" t="s">
        <v>3358</v>
      </c>
      <c r="K4" s="7" t="s">
        <v>3390</v>
      </c>
      <c r="L4" s="11" t="str">
        <f>HYPERLINK("http://slimages.macys.com/is/image/MCY/1611451 ")</f>
        <v xml:space="preserve">http://slimages.macys.com/is/image/MCY/1611451 </v>
      </c>
    </row>
    <row r="5" spans="1:12" ht="39.950000000000003" customHeight="1" x14ac:dyDescent="0.25">
      <c r="A5" s="6" t="s">
        <v>1774</v>
      </c>
      <c r="B5" s="7" t="s">
        <v>1775</v>
      </c>
      <c r="C5" s="8">
        <v>1</v>
      </c>
      <c r="D5" s="9">
        <v>179.99</v>
      </c>
      <c r="E5" s="8" t="s">
        <v>1776</v>
      </c>
      <c r="F5" s="7" t="s">
        <v>3542</v>
      </c>
      <c r="G5" s="10" t="s">
        <v>3504</v>
      </c>
      <c r="H5" s="7" t="s">
        <v>4165</v>
      </c>
      <c r="I5" s="7" t="s">
        <v>1777</v>
      </c>
      <c r="J5" s="7" t="s">
        <v>3751</v>
      </c>
      <c r="K5" s="7" t="s">
        <v>1778</v>
      </c>
      <c r="L5" s="11" t="str">
        <f>HYPERLINK("http://images.bloomingdales.com/is/image/BLM/11164542 ")</f>
        <v xml:space="preserve">http://images.bloomingdales.com/is/image/BLM/11164542 </v>
      </c>
    </row>
    <row r="6" spans="1:12" ht="39.950000000000003" customHeight="1" x14ac:dyDescent="0.25">
      <c r="A6" s="6" t="s">
        <v>3830</v>
      </c>
      <c r="B6" s="7" t="s">
        <v>3831</v>
      </c>
      <c r="C6" s="8">
        <v>1</v>
      </c>
      <c r="D6" s="9">
        <v>179.99</v>
      </c>
      <c r="E6" s="8">
        <v>81393</v>
      </c>
      <c r="F6" s="7" t="s">
        <v>3553</v>
      </c>
      <c r="G6" s="10"/>
      <c r="H6" s="7" t="s">
        <v>3412</v>
      </c>
      <c r="I6" s="7" t="s">
        <v>3595</v>
      </c>
      <c r="J6" s="7" t="s">
        <v>3358</v>
      </c>
      <c r="K6" s="7" t="s">
        <v>3832</v>
      </c>
      <c r="L6" s="11" t="str">
        <f>HYPERLINK("http://slimages.macys.com/is/image/MCY/14789644 ")</f>
        <v xml:space="preserve">http://slimages.macys.com/is/image/MCY/14789644 </v>
      </c>
    </row>
    <row r="7" spans="1:12" ht="39.950000000000003" customHeight="1" x14ac:dyDescent="0.25">
      <c r="A7" s="6" t="s">
        <v>1779</v>
      </c>
      <c r="B7" s="7" t="s">
        <v>1780</v>
      </c>
      <c r="C7" s="8">
        <v>1</v>
      </c>
      <c r="D7" s="9">
        <v>199.99</v>
      </c>
      <c r="E7" s="8" t="s">
        <v>1781</v>
      </c>
      <c r="F7" s="7" t="s">
        <v>3925</v>
      </c>
      <c r="G7" s="10"/>
      <c r="H7" s="7" t="s">
        <v>3365</v>
      </c>
      <c r="I7" s="7" t="s">
        <v>2522</v>
      </c>
      <c r="J7" s="7" t="s">
        <v>3751</v>
      </c>
      <c r="K7" s="7" t="s">
        <v>1782</v>
      </c>
      <c r="L7" s="11" t="str">
        <f>HYPERLINK("http://slimages.macys.com/is/image/MCY/12354489 ")</f>
        <v xml:space="preserve">http://slimages.macys.com/is/image/MCY/12354489 </v>
      </c>
    </row>
    <row r="8" spans="1:12" ht="39.950000000000003" customHeight="1" x14ac:dyDescent="0.25">
      <c r="A8" s="6" t="s">
        <v>3386</v>
      </c>
      <c r="B8" s="7" t="s">
        <v>3387</v>
      </c>
      <c r="C8" s="8">
        <v>1</v>
      </c>
      <c r="D8" s="9">
        <v>149.99</v>
      </c>
      <c r="E8" s="8">
        <v>61133</v>
      </c>
      <c r="F8" s="7" t="s">
        <v>3363</v>
      </c>
      <c r="G8" s="10"/>
      <c r="H8" s="7" t="s">
        <v>3388</v>
      </c>
      <c r="I8" s="7" t="s">
        <v>3389</v>
      </c>
      <c r="J8" s="7" t="s">
        <v>3358</v>
      </c>
      <c r="K8" s="7" t="s">
        <v>3390</v>
      </c>
      <c r="L8" s="11" t="str">
        <f>HYPERLINK("http://slimages.macys.com/is/image/MCY/15866419 ")</f>
        <v xml:space="preserve">http://slimages.macys.com/is/image/MCY/15866419 </v>
      </c>
    </row>
    <row r="9" spans="1:12" ht="39.950000000000003" customHeight="1" x14ac:dyDescent="0.25">
      <c r="A9" s="6" t="s">
        <v>1783</v>
      </c>
      <c r="B9" s="7" t="s">
        <v>1784</v>
      </c>
      <c r="C9" s="8">
        <v>1</v>
      </c>
      <c r="D9" s="9">
        <v>149.99</v>
      </c>
      <c r="E9" s="8" t="s">
        <v>2823</v>
      </c>
      <c r="F9" s="7" t="s">
        <v>3921</v>
      </c>
      <c r="G9" s="10"/>
      <c r="H9" s="7" t="s">
        <v>3408</v>
      </c>
      <c r="I9" s="7" t="s">
        <v>3409</v>
      </c>
      <c r="J9" s="7"/>
      <c r="K9" s="7"/>
      <c r="L9" s="11" t="str">
        <f>HYPERLINK("http://slimages.macys.com/is/image/MCY/17773249 ")</f>
        <v xml:space="preserve">http://slimages.macys.com/is/image/MCY/17773249 </v>
      </c>
    </row>
    <row r="10" spans="1:12" ht="39.950000000000003" customHeight="1" x14ac:dyDescent="0.25">
      <c r="A10" s="6" t="s">
        <v>1785</v>
      </c>
      <c r="B10" s="7" t="s">
        <v>1786</v>
      </c>
      <c r="C10" s="8">
        <v>1</v>
      </c>
      <c r="D10" s="9">
        <v>179.99</v>
      </c>
      <c r="E10" s="8" t="s">
        <v>1787</v>
      </c>
      <c r="F10" s="7" t="s">
        <v>3937</v>
      </c>
      <c r="G10" s="10"/>
      <c r="H10" s="7" t="s">
        <v>3412</v>
      </c>
      <c r="I10" s="7" t="s">
        <v>3436</v>
      </c>
      <c r="J10" s="7" t="s">
        <v>3358</v>
      </c>
      <c r="K10" s="7" t="s">
        <v>3390</v>
      </c>
      <c r="L10" s="11" t="str">
        <f>HYPERLINK("http://slimages.macys.com/is/image/MCY/16736390 ")</f>
        <v xml:space="preserve">http://slimages.macys.com/is/image/MCY/16736390 </v>
      </c>
    </row>
    <row r="11" spans="1:12" ht="39.950000000000003" customHeight="1" x14ac:dyDescent="0.25">
      <c r="A11" s="6" t="s">
        <v>1788</v>
      </c>
      <c r="B11" s="7" t="s">
        <v>1789</v>
      </c>
      <c r="C11" s="8">
        <v>1</v>
      </c>
      <c r="D11" s="9">
        <v>149.99</v>
      </c>
      <c r="E11" s="8" t="s">
        <v>1790</v>
      </c>
      <c r="F11" s="7" t="s">
        <v>3363</v>
      </c>
      <c r="G11" s="10"/>
      <c r="H11" s="7" t="s">
        <v>3356</v>
      </c>
      <c r="I11" s="7" t="s">
        <v>3436</v>
      </c>
      <c r="J11" s="7" t="s">
        <v>3358</v>
      </c>
      <c r="K11" s="7" t="s">
        <v>1791</v>
      </c>
      <c r="L11" s="11" t="str">
        <f>HYPERLINK("http://slimages.macys.com/is/image/MCY/10989742 ")</f>
        <v xml:space="preserve">http://slimages.macys.com/is/image/MCY/10989742 </v>
      </c>
    </row>
    <row r="12" spans="1:12" ht="39.950000000000003" customHeight="1" x14ac:dyDescent="0.25">
      <c r="A12" s="6" t="s">
        <v>1792</v>
      </c>
      <c r="B12" s="7" t="s">
        <v>1625</v>
      </c>
      <c r="C12" s="8">
        <v>1</v>
      </c>
      <c r="D12" s="9">
        <v>175</v>
      </c>
      <c r="E12" s="8" t="s">
        <v>1793</v>
      </c>
      <c r="F12" s="7" t="s">
        <v>2663</v>
      </c>
      <c r="G12" s="10" t="s">
        <v>1794</v>
      </c>
      <c r="H12" s="7" t="s">
        <v>3397</v>
      </c>
      <c r="I12" s="7" t="s">
        <v>2401</v>
      </c>
      <c r="J12" s="7" t="s">
        <v>3358</v>
      </c>
      <c r="K12" s="7" t="s">
        <v>1795</v>
      </c>
      <c r="L12" s="11" t="str">
        <f>HYPERLINK("http://slimages.macys.com/is/image/MCY/16338885 ")</f>
        <v xml:space="preserve">http://slimages.macys.com/is/image/MCY/16338885 </v>
      </c>
    </row>
    <row r="13" spans="1:12" ht="39.950000000000003" customHeight="1" x14ac:dyDescent="0.25">
      <c r="A13" s="6" t="s">
        <v>1796</v>
      </c>
      <c r="B13" s="7" t="s">
        <v>1625</v>
      </c>
      <c r="C13" s="8">
        <v>1</v>
      </c>
      <c r="D13" s="9">
        <v>175</v>
      </c>
      <c r="E13" s="8" t="s">
        <v>1797</v>
      </c>
      <c r="F13" s="7" t="s">
        <v>2663</v>
      </c>
      <c r="G13" s="10" t="s">
        <v>2497</v>
      </c>
      <c r="H13" s="7" t="s">
        <v>3397</v>
      </c>
      <c r="I13" s="7" t="s">
        <v>2401</v>
      </c>
      <c r="J13" s="7" t="s">
        <v>3358</v>
      </c>
      <c r="K13" s="7" t="s">
        <v>1795</v>
      </c>
      <c r="L13" s="11" t="str">
        <f>HYPERLINK("http://slimages.macys.com/is/image/MCY/16338985 ")</f>
        <v xml:space="preserve">http://slimages.macys.com/is/image/MCY/16338985 </v>
      </c>
    </row>
    <row r="14" spans="1:12" ht="39.950000000000003" customHeight="1" x14ac:dyDescent="0.25">
      <c r="A14" s="6" t="s">
        <v>1798</v>
      </c>
      <c r="B14" s="7" t="s">
        <v>1799</v>
      </c>
      <c r="C14" s="8">
        <v>1</v>
      </c>
      <c r="D14" s="9">
        <v>179.99</v>
      </c>
      <c r="E14" s="8" t="s">
        <v>1800</v>
      </c>
      <c r="F14" s="7" t="s">
        <v>3525</v>
      </c>
      <c r="G14" s="10"/>
      <c r="H14" s="7" t="s">
        <v>3658</v>
      </c>
      <c r="I14" s="7" t="s">
        <v>3905</v>
      </c>
      <c r="J14" s="7"/>
      <c r="K14" s="7"/>
      <c r="L14" s="11" t="str">
        <f>HYPERLINK("http://slimages.macys.com/is/image/MCY/16792609 ")</f>
        <v xml:space="preserve">http://slimages.macys.com/is/image/MCY/16792609 </v>
      </c>
    </row>
    <row r="15" spans="1:12" ht="39.950000000000003" customHeight="1" x14ac:dyDescent="0.25">
      <c r="A15" s="6" t="s">
        <v>1801</v>
      </c>
      <c r="B15" s="7" t="s">
        <v>1802</v>
      </c>
      <c r="C15" s="8">
        <v>1</v>
      </c>
      <c r="D15" s="9">
        <v>149.99</v>
      </c>
      <c r="E15" s="8" t="s">
        <v>1803</v>
      </c>
      <c r="F15" s="7" t="s">
        <v>3384</v>
      </c>
      <c r="G15" s="10"/>
      <c r="H15" s="7" t="s">
        <v>3601</v>
      </c>
      <c r="I15" s="7" t="s">
        <v>2657</v>
      </c>
      <c r="J15" s="7" t="s">
        <v>3358</v>
      </c>
      <c r="K15" s="7"/>
      <c r="L15" s="11" t="str">
        <f>HYPERLINK("http://slimages.macys.com/is/image/MCY/12738760 ")</f>
        <v xml:space="preserve">http://slimages.macys.com/is/image/MCY/12738760 </v>
      </c>
    </row>
    <row r="16" spans="1:12" ht="39.950000000000003" customHeight="1" x14ac:dyDescent="0.25">
      <c r="A16" s="6" t="s">
        <v>1804</v>
      </c>
      <c r="B16" s="7" t="s">
        <v>1805</v>
      </c>
      <c r="C16" s="8">
        <v>1</v>
      </c>
      <c r="D16" s="9">
        <v>149.99</v>
      </c>
      <c r="E16" s="8" t="s">
        <v>1806</v>
      </c>
      <c r="F16" s="7" t="s">
        <v>3477</v>
      </c>
      <c r="G16" s="10"/>
      <c r="H16" s="7" t="s">
        <v>3408</v>
      </c>
      <c r="I16" s="7" t="s">
        <v>3409</v>
      </c>
      <c r="J16" s="7" t="s">
        <v>3358</v>
      </c>
      <c r="K16" s="7"/>
      <c r="L16" s="11" t="str">
        <f>HYPERLINK("http://slimages.macys.com/is/image/MCY/15105811 ")</f>
        <v xml:space="preserve">http://slimages.macys.com/is/image/MCY/15105811 </v>
      </c>
    </row>
    <row r="17" spans="1:12" ht="39.950000000000003" customHeight="1" x14ac:dyDescent="0.25">
      <c r="A17" s="6" t="s">
        <v>1807</v>
      </c>
      <c r="B17" s="7" t="s">
        <v>1808</v>
      </c>
      <c r="C17" s="8">
        <v>1</v>
      </c>
      <c r="D17" s="9">
        <v>99.99</v>
      </c>
      <c r="E17" s="8" t="s">
        <v>1809</v>
      </c>
      <c r="F17" s="7" t="s">
        <v>3363</v>
      </c>
      <c r="G17" s="10"/>
      <c r="H17" s="7" t="s">
        <v>3408</v>
      </c>
      <c r="I17" s="7" t="s">
        <v>3409</v>
      </c>
      <c r="J17" s="7" t="s">
        <v>3751</v>
      </c>
      <c r="K17" s="7" t="s">
        <v>3521</v>
      </c>
      <c r="L17" s="11" t="str">
        <f>HYPERLINK("http://slimages.macys.com/is/image/MCY/11320819 ")</f>
        <v xml:space="preserve">http://slimages.macys.com/is/image/MCY/11320819 </v>
      </c>
    </row>
    <row r="18" spans="1:12" ht="39.950000000000003" customHeight="1" x14ac:dyDescent="0.25">
      <c r="A18" s="6" t="s">
        <v>1810</v>
      </c>
      <c r="B18" s="7" t="s">
        <v>1811</v>
      </c>
      <c r="C18" s="8">
        <v>1</v>
      </c>
      <c r="D18" s="9">
        <v>128.99</v>
      </c>
      <c r="E18" s="8" t="s">
        <v>1812</v>
      </c>
      <c r="F18" s="7" t="s">
        <v>3735</v>
      </c>
      <c r="G18" s="10" t="s">
        <v>1813</v>
      </c>
      <c r="H18" s="7" t="s">
        <v>3412</v>
      </c>
      <c r="I18" s="7" t="s">
        <v>1814</v>
      </c>
      <c r="J18" s="7" t="s">
        <v>3358</v>
      </c>
      <c r="K18" s="7" t="s">
        <v>3390</v>
      </c>
      <c r="L18" s="11" t="str">
        <f>HYPERLINK("http://slimages.macys.com/is/image/MCY/14477187 ")</f>
        <v xml:space="preserve">http://slimages.macys.com/is/image/MCY/14477187 </v>
      </c>
    </row>
    <row r="19" spans="1:12" ht="39.950000000000003" customHeight="1" x14ac:dyDescent="0.25">
      <c r="A19" s="6" t="s">
        <v>1815</v>
      </c>
      <c r="B19" s="7" t="s">
        <v>1816</v>
      </c>
      <c r="C19" s="8">
        <v>1</v>
      </c>
      <c r="D19" s="9">
        <v>139.99</v>
      </c>
      <c r="E19" s="8" t="s">
        <v>1817</v>
      </c>
      <c r="F19" s="7" t="s">
        <v>4219</v>
      </c>
      <c r="G19" s="10"/>
      <c r="H19" s="7" t="s">
        <v>3601</v>
      </c>
      <c r="I19" s="7" t="s">
        <v>3602</v>
      </c>
      <c r="J19" s="7" t="s">
        <v>3358</v>
      </c>
      <c r="K19" s="7" t="s">
        <v>3582</v>
      </c>
      <c r="L19" s="11" t="str">
        <f>HYPERLINK("http://slimages.macys.com/is/image/MCY/11607139 ")</f>
        <v xml:space="preserve">http://slimages.macys.com/is/image/MCY/11607139 </v>
      </c>
    </row>
    <row r="20" spans="1:12" ht="39.950000000000003" customHeight="1" x14ac:dyDescent="0.25">
      <c r="A20" s="6" t="s">
        <v>1818</v>
      </c>
      <c r="B20" s="7" t="s">
        <v>1819</v>
      </c>
      <c r="C20" s="8">
        <v>1</v>
      </c>
      <c r="D20" s="9">
        <v>109.99</v>
      </c>
      <c r="E20" s="8" t="s">
        <v>1820</v>
      </c>
      <c r="F20" s="7" t="s">
        <v>3384</v>
      </c>
      <c r="G20" s="10"/>
      <c r="H20" s="7" t="s">
        <v>3412</v>
      </c>
      <c r="I20" s="7" t="s">
        <v>3436</v>
      </c>
      <c r="J20" s="7" t="s">
        <v>3358</v>
      </c>
      <c r="K20" s="7" t="s">
        <v>3390</v>
      </c>
      <c r="L20" s="11" t="str">
        <f>HYPERLINK("http://slimages.macys.com/is/image/MCY/15602452 ")</f>
        <v xml:space="preserve">http://slimages.macys.com/is/image/MCY/15602452 </v>
      </c>
    </row>
    <row r="21" spans="1:12" ht="39.950000000000003" customHeight="1" x14ac:dyDescent="0.25">
      <c r="A21" s="6" t="s">
        <v>1821</v>
      </c>
      <c r="B21" s="7" t="s">
        <v>1822</v>
      </c>
      <c r="C21" s="8">
        <v>1</v>
      </c>
      <c r="D21" s="9">
        <v>99.99</v>
      </c>
      <c r="E21" s="8" t="s">
        <v>1823</v>
      </c>
      <c r="F21" s="7" t="s">
        <v>3553</v>
      </c>
      <c r="G21" s="10"/>
      <c r="H21" s="7" t="s">
        <v>3418</v>
      </c>
      <c r="I21" s="7" t="s">
        <v>1824</v>
      </c>
      <c r="J21" s="7" t="s">
        <v>3358</v>
      </c>
      <c r="K21" s="7" t="s">
        <v>1825</v>
      </c>
      <c r="L21" s="11" t="str">
        <f>HYPERLINK("http://slimages.macys.com/is/image/MCY/9936616 ")</f>
        <v xml:space="preserve">http://slimages.macys.com/is/image/MCY/9936616 </v>
      </c>
    </row>
    <row r="22" spans="1:12" ht="39.950000000000003" customHeight="1" x14ac:dyDescent="0.25">
      <c r="A22" s="6" t="s">
        <v>1826</v>
      </c>
      <c r="B22" s="7" t="s">
        <v>1827</v>
      </c>
      <c r="C22" s="8">
        <v>1</v>
      </c>
      <c r="D22" s="9">
        <v>84.99</v>
      </c>
      <c r="E22" s="8" t="s">
        <v>1828</v>
      </c>
      <c r="F22" s="7" t="s">
        <v>3937</v>
      </c>
      <c r="G22" s="10"/>
      <c r="H22" s="7" t="s">
        <v>3356</v>
      </c>
      <c r="I22" s="7" t="s">
        <v>3436</v>
      </c>
      <c r="J22" s="7" t="s">
        <v>3358</v>
      </c>
      <c r="K22" s="7" t="s">
        <v>1829</v>
      </c>
      <c r="L22" s="11" t="str">
        <f>HYPERLINK("http://slimages.macys.com/is/image/MCY/16942058 ")</f>
        <v xml:space="preserve">http://slimages.macys.com/is/image/MCY/16942058 </v>
      </c>
    </row>
    <row r="23" spans="1:12" ht="39.950000000000003" customHeight="1" x14ac:dyDescent="0.25">
      <c r="A23" s="6" t="s">
        <v>1830</v>
      </c>
      <c r="B23" s="7" t="s">
        <v>1831</v>
      </c>
      <c r="C23" s="8">
        <v>1</v>
      </c>
      <c r="D23" s="9">
        <v>90.99</v>
      </c>
      <c r="E23" s="8">
        <v>2002043</v>
      </c>
      <c r="F23" s="7" t="s">
        <v>3363</v>
      </c>
      <c r="G23" s="10" t="s">
        <v>2497</v>
      </c>
      <c r="H23" s="7" t="s">
        <v>3422</v>
      </c>
      <c r="I23" s="7" t="s">
        <v>1832</v>
      </c>
      <c r="J23" s="7" t="s">
        <v>3358</v>
      </c>
      <c r="K23" s="7" t="s">
        <v>1833</v>
      </c>
      <c r="L23" s="11" t="str">
        <f>HYPERLINK("http://slimages.macys.com/is/image/MCY/11437681 ")</f>
        <v xml:space="preserve">http://slimages.macys.com/is/image/MCY/11437681 </v>
      </c>
    </row>
    <row r="24" spans="1:12" ht="39.950000000000003" customHeight="1" x14ac:dyDescent="0.25">
      <c r="A24" s="6" t="s">
        <v>1834</v>
      </c>
      <c r="B24" s="7" t="s">
        <v>1835</v>
      </c>
      <c r="C24" s="8">
        <v>1</v>
      </c>
      <c r="D24" s="9">
        <v>135</v>
      </c>
      <c r="E24" s="8">
        <v>1002265800</v>
      </c>
      <c r="F24" s="7" t="s">
        <v>3363</v>
      </c>
      <c r="G24" s="10"/>
      <c r="H24" s="7" t="s">
        <v>3372</v>
      </c>
      <c r="I24" s="7" t="s">
        <v>3251</v>
      </c>
      <c r="J24" s="7" t="s">
        <v>3252</v>
      </c>
      <c r="K24" s="7" t="s">
        <v>3619</v>
      </c>
      <c r="L24" s="11" t="str">
        <f>HYPERLINK("http://images.bloomingdales.com/is/image/BLM/9993211 ")</f>
        <v xml:space="preserve">http://images.bloomingdales.com/is/image/BLM/9993211 </v>
      </c>
    </row>
    <row r="25" spans="1:12" ht="39.950000000000003" customHeight="1" x14ac:dyDescent="0.25">
      <c r="A25" s="6" t="s">
        <v>1836</v>
      </c>
      <c r="B25" s="7" t="s">
        <v>1625</v>
      </c>
      <c r="C25" s="8">
        <v>1</v>
      </c>
      <c r="D25" s="9">
        <v>125</v>
      </c>
      <c r="E25" s="8" t="s">
        <v>1837</v>
      </c>
      <c r="F25" s="7" t="s">
        <v>2663</v>
      </c>
      <c r="G25" s="10"/>
      <c r="H25" s="7" t="s">
        <v>3397</v>
      </c>
      <c r="I25" s="7" t="s">
        <v>2401</v>
      </c>
      <c r="J25" s="7" t="s">
        <v>3358</v>
      </c>
      <c r="K25" s="7" t="s">
        <v>1838</v>
      </c>
      <c r="L25" s="11" t="str">
        <f>HYPERLINK("http://slimages.macys.com/is/image/MCY/16338896 ")</f>
        <v xml:space="preserve">http://slimages.macys.com/is/image/MCY/16338896 </v>
      </c>
    </row>
    <row r="26" spans="1:12" ht="39.950000000000003" customHeight="1" x14ac:dyDescent="0.25">
      <c r="A26" s="6" t="s">
        <v>1839</v>
      </c>
      <c r="B26" s="7" t="s">
        <v>1840</v>
      </c>
      <c r="C26" s="8">
        <v>1</v>
      </c>
      <c r="D26" s="9">
        <v>99.99</v>
      </c>
      <c r="E26" s="8" t="s">
        <v>1841</v>
      </c>
      <c r="F26" s="7" t="s">
        <v>3384</v>
      </c>
      <c r="G26" s="10"/>
      <c r="H26" s="7" t="s">
        <v>3408</v>
      </c>
      <c r="I26" s="7" t="s">
        <v>3409</v>
      </c>
      <c r="J26" s="7"/>
      <c r="K26" s="7"/>
      <c r="L26" s="11" t="str">
        <f>HYPERLINK("http://slimages.macys.com/is/image/MCY/17050009 ")</f>
        <v xml:space="preserve">http://slimages.macys.com/is/image/MCY/17050009 </v>
      </c>
    </row>
    <row r="27" spans="1:12" ht="39.950000000000003" customHeight="1" x14ac:dyDescent="0.25">
      <c r="A27" s="6" t="s">
        <v>1842</v>
      </c>
      <c r="B27" s="7" t="s">
        <v>1843</v>
      </c>
      <c r="C27" s="8">
        <v>1</v>
      </c>
      <c r="D27" s="9">
        <v>79.989999999999995</v>
      </c>
      <c r="E27" s="8" t="s">
        <v>1844</v>
      </c>
      <c r="F27" s="7" t="s">
        <v>3531</v>
      </c>
      <c r="G27" s="10"/>
      <c r="H27" s="7" t="s">
        <v>3356</v>
      </c>
      <c r="I27" s="7" t="s">
        <v>1845</v>
      </c>
      <c r="J27" s="7" t="s">
        <v>3358</v>
      </c>
      <c r="K27" s="7" t="s">
        <v>3390</v>
      </c>
      <c r="L27" s="11" t="str">
        <f>HYPERLINK("http://slimages.macys.com/is/image/MCY/12723543 ")</f>
        <v xml:space="preserve">http://slimages.macys.com/is/image/MCY/12723543 </v>
      </c>
    </row>
    <row r="28" spans="1:12" ht="39.950000000000003" customHeight="1" x14ac:dyDescent="0.25">
      <c r="A28" s="6" t="s">
        <v>1846</v>
      </c>
      <c r="B28" s="7" t="s">
        <v>1847</v>
      </c>
      <c r="C28" s="8">
        <v>1</v>
      </c>
      <c r="D28" s="9">
        <v>84.99</v>
      </c>
      <c r="E28" s="8" t="s">
        <v>1848</v>
      </c>
      <c r="F28" s="7" t="s">
        <v>3363</v>
      </c>
      <c r="G28" s="10"/>
      <c r="H28" s="7" t="s">
        <v>3471</v>
      </c>
      <c r="I28" s="7" t="s">
        <v>3378</v>
      </c>
      <c r="J28" s="7" t="s">
        <v>3379</v>
      </c>
      <c r="K28" s="7" t="s">
        <v>4074</v>
      </c>
      <c r="L28" s="11" t="str">
        <f>HYPERLINK("http://slimages.macys.com/is/image/MCY/8589816 ")</f>
        <v xml:space="preserve">http://slimages.macys.com/is/image/MCY/8589816 </v>
      </c>
    </row>
    <row r="29" spans="1:12" ht="39.950000000000003" customHeight="1" x14ac:dyDescent="0.25">
      <c r="A29" s="6" t="s">
        <v>1849</v>
      </c>
      <c r="B29" s="7" t="s">
        <v>1850</v>
      </c>
      <c r="C29" s="8">
        <v>1</v>
      </c>
      <c r="D29" s="9">
        <v>79.989999999999995</v>
      </c>
      <c r="E29" s="8" t="s">
        <v>1851</v>
      </c>
      <c r="F29" s="7" t="s">
        <v>3363</v>
      </c>
      <c r="G29" s="10" t="s">
        <v>3663</v>
      </c>
      <c r="H29" s="7" t="s">
        <v>3388</v>
      </c>
      <c r="I29" s="7" t="s">
        <v>2876</v>
      </c>
      <c r="J29" s="7" t="s">
        <v>3358</v>
      </c>
      <c r="K29" s="7" t="s">
        <v>4002</v>
      </c>
      <c r="L29" s="11" t="str">
        <f>HYPERLINK("http://slimages.macys.com/is/image/MCY/8117013 ")</f>
        <v xml:space="preserve">http://slimages.macys.com/is/image/MCY/8117013 </v>
      </c>
    </row>
    <row r="30" spans="1:12" ht="39.950000000000003" customHeight="1" x14ac:dyDescent="0.25">
      <c r="A30" s="6" t="s">
        <v>1852</v>
      </c>
      <c r="B30" s="7" t="s">
        <v>1853</v>
      </c>
      <c r="C30" s="8">
        <v>1</v>
      </c>
      <c r="D30" s="9">
        <v>49.99</v>
      </c>
      <c r="E30" s="8" t="s">
        <v>1854</v>
      </c>
      <c r="F30" s="7" t="s">
        <v>3363</v>
      </c>
      <c r="G30" s="10"/>
      <c r="H30" s="7" t="s">
        <v>3526</v>
      </c>
      <c r="I30" s="7" t="s">
        <v>4242</v>
      </c>
      <c r="J30" s="7"/>
      <c r="K30" s="7"/>
      <c r="L30" s="11" t="str">
        <f>HYPERLINK("http://slimages.macys.com/is/image/MCY/17960139 ")</f>
        <v xml:space="preserve">http://slimages.macys.com/is/image/MCY/17960139 </v>
      </c>
    </row>
    <row r="31" spans="1:12" ht="39.950000000000003" customHeight="1" x14ac:dyDescent="0.25">
      <c r="A31" s="6" t="s">
        <v>1855</v>
      </c>
      <c r="B31" s="7" t="s">
        <v>1856</v>
      </c>
      <c r="C31" s="8">
        <v>1</v>
      </c>
      <c r="D31" s="9">
        <v>77</v>
      </c>
      <c r="E31" s="8" t="s">
        <v>1857</v>
      </c>
      <c r="F31" s="7" t="s">
        <v>3371</v>
      </c>
      <c r="G31" s="10"/>
      <c r="H31" s="7" t="s">
        <v>4165</v>
      </c>
      <c r="I31" s="7" t="s">
        <v>1858</v>
      </c>
      <c r="J31" s="7"/>
      <c r="K31" s="7"/>
      <c r="L31" s="11" t="str">
        <f>HYPERLINK("http://images.bloomingdales.com/is/image/BLM/8309679 ")</f>
        <v xml:space="preserve">http://images.bloomingdales.com/is/image/BLM/8309679 </v>
      </c>
    </row>
    <row r="32" spans="1:12" ht="39.950000000000003" customHeight="1" x14ac:dyDescent="0.25">
      <c r="A32" s="6" t="s">
        <v>1859</v>
      </c>
      <c r="B32" s="7" t="s">
        <v>1860</v>
      </c>
      <c r="C32" s="8">
        <v>1</v>
      </c>
      <c r="D32" s="9">
        <v>57.99</v>
      </c>
      <c r="E32" s="8" t="s">
        <v>1861</v>
      </c>
      <c r="F32" s="7" t="s">
        <v>3937</v>
      </c>
      <c r="G32" s="10"/>
      <c r="H32" s="7" t="s">
        <v>3356</v>
      </c>
      <c r="I32" s="7" t="s">
        <v>1814</v>
      </c>
      <c r="J32" s="7" t="s">
        <v>3358</v>
      </c>
      <c r="K32" s="7" t="s">
        <v>1862</v>
      </c>
      <c r="L32" s="11" t="str">
        <f>HYPERLINK("http://slimages.macys.com/is/image/MCY/14477276 ")</f>
        <v xml:space="preserve">http://slimages.macys.com/is/image/MCY/14477276 </v>
      </c>
    </row>
    <row r="33" spans="1:12" ht="39.950000000000003" customHeight="1" x14ac:dyDescent="0.25">
      <c r="A33" s="6" t="s">
        <v>1863</v>
      </c>
      <c r="B33" s="7" t="s">
        <v>1864</v>
      </c>
      <c r="C33" s="8">
        <v>1</v>
      </c>
      <c r="D33" s="9">
        <v>59.99</v>
      </c>
      <c r="E33" s="8" t="s">
        <v>1865</v>
      </c>
      <c r="F33" s="7" t="s">
        <v>4173</v>
      </c>
      <c r="G33" s="10"/>
      <c r="H33" s="7" t="s">
        <v>3412</v>
      </c>
      <c r="I33" s="7" t="s">
        <v>3436</v>
      </c>
      <c r="J33" s="7" t="s">
        <v>3358</v>
      </c>
      <c r="K33" s="7" t="s">
        <v>1866</v>
      </c>
      <c r="L33" s="11" t="str">
        <f>HYPERLINK("http://slimages.macys.com/is/image/MCY/9486399 ")</f>
        <v xml:space="preserve">http://slimages.macys.com/is/image/MCY/9486399 </v>
      </c>
    </row>
    <row r="34" spans="1:12" ht="39.950000000000003" customHeight="1" x14ac:dyDescent="0.25">
      <c r="A34" s="6" t="s">
        <v>1867</v>
      </c>
      <c r="B34" s="7" t="s">
        <v>1868</v>
      </c>
      <c r="C34" s="8">
        <v>1</v>
      </c>
      <c r="D34" s="9">
        <v>80</v>
      </c>
      <c r="E34" s="8" t="s">
        <v>1869</v>
      </c>
      <c r="F34" s="7" t="s">
        <v>3371</v>
      </c>
      <c r="G34" s="10"/>
      <c r="H34" s="7" t="s">
        <v>4165</v>
      </c>
      <c r="I34" s="7" t="s">
        <v>1858</v>
      </c>
      <c r="J34" s="7"/>
      <c r="K34" s="7"/>
      <c r="L34" s="11" t="str">
        <f>HYPERLINK("http://images.bloomingdales.com/is/image/BLM/8309680 ")</f>
        <v xml:space="preserve">http://images.bloomingdales.com/is/image/BLM/8309680 </v>
      </c>
    </row>
    <row r="35" spans="1:12" ht="39.950000000000003" customHeight="1" x14ac:dyDescent="0.25">
      <c r="A35" s="6" t="s">
        <v>1870</v>
      </c>
      <c r="B35" s="7" t="s">
        <v>1871</v>
      </c>
      <c r="C35" s="8">
        <v>1</v>
      </c>
      <c r="D35" s="9">
        <v>66.989999999999995</v>
      </c>
      <c r="E35" s="8" t="s">
        <v>1872</v>
      </c>
      <c r="F35" s="7" t="s">
        <v>3481</v>
      </c>
      <c r="G35" s="10"/>
      <c r="H35" s="7" t="s">
        <v>3492</v>
      </c>
      <c r="I35" s="7" t="s">
        <v>3064</v>
      </c>
      <c r="J35" s="7" t="s">
        <v>3358</v>
      </c>
      <c r="K35" s="7" t="s">
        <v>3390</v>
      </c>
      <c r="L35" s="11" t="str">
        <f>HYPERLINK("http://slimages.macys.com/is/image/MCY/14425176 ")</f>
        <v xml:space="preserve">http://slimages.macys.com/is/image/MCY/14425176 </v>
      </c>
    </row>
    <row r="36" spans="1:12" ht="39.950000000000003" customHeight="1" x14ac:dyDescent="0.25">
      <c r="A36" s="6" t="s">
        <v>1873</v>
      </c>
      <c r="B36" s="7" t="s">
        <v>1874</v>
      </c>
      <c r="C36" s="8">
        <v>1</v>
      </c>
      <c r="D36" s="9">
        <v>59.99</v>
      </c>
      <c r="E36" s="8" t="s">
        <v>1875</v>
      </c>
      <c r="F36" s="7" t="s">
        <v>2663</v>
      </c>
      <c r="G36" s="10"/>
      <c r="H36" s="7" t="s">
        <v>3492</v>
      </c>
      <c r="I36" s="7" t="s">
        <v>4212</v>
      </c>
      <c r="J36" s="7"/>
      <c r="K36" s="7"/>
      <c r="L36" s="11" t="str">
        <f>HYPERLINK("http://slimages.macys.com/is/image/MCY/17639293 ")</f>
        <v xml:space="preserve">http://slimages.macys.com/is/image/MCY/17639293 </v>
      </c>
    </row>
    <row r="37" spans="1:12" ht="39.950000000000003" customHeight="1" x14ac:dyDescent="0.25">
      <c r="A37" s="6" t="s">
        <v>1876</v>
      </c>
      <c r="B37" s="7" t="s">
        <v>1877</v>
      </c>
      <c r="C37" s="8">
        <v>1</v>
      </c>
      <c r="D37" s="9">
        <v>61.99</v>
      </c>
      <c r="E37" s="8" t="s">
        <v>1878</v>
      </c>
      <c r="F37" s="7" t="s">
        <v>1879</v>
      </c>
      <c r="G37" s="10" t="s">
        <v>3947</v>
      </c>
      <c r="H37" s="7" t="s">
        <v>3492</v>
      </c>
      <c r="I37" s="7" t="s">
        <v>2526</v>
      </c>
      <c r="J37" s="7" t="s">
        <v>3692</v>
      </c>
      <c r="K37" s="7" t="s">
        <v>3506</v>
      </c>
      <c r="L37" s="11" t="str">
        <f>HYPERLINK("http://slimages.macys.com/is/image/MCY/12307729 ")</f>
        <v xml:space="preserve">http://slimages.macys.com/is/image/MCY/12307729 </v>
      </c>
    </row>
    <row r="38" spans="1:12" ht="39.950000000000003" customHeight="1" x14ac:dyDescent="0.25">
      <c r="A38" s="6" t="s">
        <v>1880</v>
      </c>
      <c r="B38" s="7" t="s">
        <v>1881</v>
      </c>
      <c r="C38" s="8">
        <v>1</v>
      </c>
      <c r="D38" s="9">
        <v>59.99</v>
      </c>
      <c r="E38" s="8">
        <v>22331222</v>
      </c>
      <c r="F38" s="7" t="s">
        <v>3384</v>
      </c>
      <c r="G38" s="10"/>
      <c r="H38" s="7" t="s">
        <v>3412</v>
      </c>
      <c r="I38" s="7" t="s">
        <v>3413</v>
      </c>
      <c r="J38" s="7"/>
      <c r="K38" s="7"/>
      <c r="L38" s="11" t="str">
        <f>HYPERLINK("http://slimages.macys.com/is/image/MCY/17086908 ")</f>
        <v xml:space="preserve">http://slimages.macys.com/is/image/MCY/17086908 </v>
      </c>
    </row>
    <row r="39" spans="1:12" ht="39.950000000000003" customHeight="1" x14ac:dyDescent="0.25">
      <c r="A39" s="6" t="s">
        <v>1882</v>
      </c>
      <c r="B39" s="7" t="s">
        <v>1883</v>
      </c>
      <c r="C39" s="8">
        <v>1</v>
      </c>
      <c r="D39" s="9">
        <v>39.99</v>
      </c>
      <c r="E39" s="8" t="s">
        <v>1884</v>
      </c>
      <c r="F39" s="7" t="s">
        <v>4021</v>
      </c>
      <c r="G39" s="10"/>
      <c r="H39" s="7" t="s">
        <v>3526</v>
      </c>
      <c r="I39" s="7" t="s">
        <v>3064</v>
      </c>
      <c r="J39" s="7" t="s">
        <v>3358</v>
      </c>
      <c r="K39" s="7" t="s">
        <v>4011</v>
      </c>
      <c r="L39" s="11" t="str">
        <f>HYPERLINK("http://slimages.macys.com/is/image/MCY/13836836 ")</f>
        <v xml:space="preserve">http://slimages.macys.com/is/image/MCY/13836836 </v>
      </c>
    </row>
    <row r="40" spans="1:12" ht="39.950000000000003" customHeight="1" x14ac:dyDescent="0.25">
      <c r="A40" s="6" t="s">
        <v>1885</v>
      </c>
      <c r="B40" s="7" t="s">
        <v>1886</v>
      </c>
      <c r="C40" s="8">
        <v>2</v>
      </c>
      <c r="D40" s="9">
        <v>199.98</v>
      </c>
      <c r="E40" s="8" t="s">
        <v>1887</v>
      </c>
      <c r="F40" s="7" t="s">
        <v>3363</v>
      </c>
      <c r="G40" s="10" t="s">
        <v>3645</v>
      </c>
      <c r="H40" s="7" t="s">
        <v>3471</v>
      </c>
      <c r="I40" s="7" t="s">
        <v>3378</v>
      </c>
      <c r="J40" s="7" t="s">
        <v>3608</v>
      </c>
      <c r="K40" s="7"/>
      <c r="L40" s="11" t="str">
        <f>HYPERLINK("http://slimages.macys.com/is/image/MCY/12779303 ")</f>
        <v xml:space="preserve">http://slimages.macys.com/is/image/MCY/12779303 </v>
      </c>
    </row>
    <row r="41" spans="1:12" ht="39.950000000000003" customHeight="1" x14ac:dyDescent="0.25">
      <c r="A41" s="6" t="s">
        <v>1888</v>
      </c>
      <c r="B41" s="7" t="s">
        <v>1889</v>
      </c>
      <c r="C41" s="8">
        <v>1</v>
      </c>
      <c r="D41" s="9">
        <v>49.99</v>
      </c>
      <c r="E41" s="8">
        <v>19156029</v>
      </c>
      <c r="F41" s="7" t="s">
        <v>3498</v>
      </c>
      <c r="G41" s="10"/>
      <c r="H41" s="7" t="s">
        <v>3412</v>
      </c>
      <c r="I41" s="7" t="s">
        <v>3413</v>
      </c>
      <c r="J41" s="7" t="s">
        <v>3358</v>
      </c>
      <c r="K41" s="7" t="s">
        <v>3390</v>
      </c>
      <c r="L41" s="11" t="str">
        <f>HYPERLINK("http://slimages.macys.com/is/image/MCY/8347198 ")</f>
        <v xml:space="preserve">http://slimages.macys.com/is/image/MCY/8347198 </v>
      </c>
    </row>
    <row r="42" spans="1:12" ht="39.950000000000003" customHeight="1" x14ac:dyDescent="0.25">
      <c r="A42" s="6" t="s">
        <v>1890</v>
      </c>
      <c r="B42" s="7" t="s">
        <v>1891</v>
      </c>
      <c r="C42" s="8">
        <v>1</v>
      </c>
      <c r="D42" s="9">
        <v>26.99</v>
      </c>
      <c r="E42" s="8" t="s">
        <v>1892</v>
      </c>
      <c r="F42" s="7" t="s">
        <v>3363</v>
      </c>
      <c r="G42" s="10" t="s">
        <v>3504</v>
      </c>
      <c r="H42" s="7" t="s">
        <v>3356</v>
      </c>
      <c r="I42" s="7" t="s">
        <v>3505</v>
      </c>
      <c r="J42" s="7" t="s">
        <v>3358</v>
      </c>
      <c r="K42" s="7" t="s">
        <v>1893</v>
      </c>
      <c r="L42" s="11" t="str">
        <f>HYPERLINK("http://slimages.macys.com/is/image/MCY/16276029 ")</f>
        <v xml:space="preserve">http://slimages.macys.com/is/image/MCY/16276029 </v>
      </c>
    </row>
    <row r="43" spans="1:12" ht="39.950000000000003" customHeight="1" x14ac:dyDescent="0.25">
      <c r="A43" s="6" t="s">
        <v>1894</v>
      </c>
      <c r="B43" s="7" t="s">
        <v>1895</v>
      </c>
      <c r="C43" s="8">
        <v>1</v>
      </c>
      <c r="D43" s="9">
        <v>26.99</v>
      </c>
      <c r="E43" s="8" t="s">
        <v>1892</v>
      </c>
      <c r="F43" s="7" t="s">
        <v>3363</v>
      </c>
      <c r="G43" s="10" t="s">
        <v>3504</v>
      </c>
      <c r="H43" s="7" t="s">
        <v>3356</v>
      </c>
      <c r="I43" s="7" t="s">
        <v>3505</v>
      </c>
      <c r="J43" s="7" t="s">
        <v>3358</v>
      </c>
      <c r="K43" s="7" t="s">
        <v>1893</v>
      </c>
      <c r="L43" s="11" t="str">
        <f>HYPERLINK("http://slimages.macys.com/is/image/MCY/16276029 ")</f>
        <v xml:space="preserve">http://slimages.macys.com/is/image/MCY/16276029 </v>
      </c>
    </row>
    <row r="44" spans="1:12" ht="39.950000000000003" customHeight="1" x14ac:dyDescent="0.25">
      <c r="A44" s="6" t="s">
        <v>1896</v>
      </c>
      <c r="B44" s="7" t="s">
        <v>1897</v>
      </c>
      <c r="C44" s="8">
        <v>1</v>
      </c>
      <c r="D44" s="9">
        <v>44.99</v>
      </c>
      <c r="E44" s="8" t="s">
        <v>1898</v>
      </c>
      <c r="F44" s="7" t="s">
        <v>3921</v>
      </c>
      <c r="G44" s="10"/>
      <c r="H44" s="7" t="s">
        <v>3408</v>
      </c>
      <c r="I44" s="7" t="s">
        <v>3409</v>
      </c>
      <c r="J44" s="7"/>
      <c r="K44" s="7"/>
      <c r="L44" s="11" t="str">
        <f>HYPERLINK("http://slimages.macys.com/is/image/MCY/17773207 ")</f>
        <v xml:space="preserve">http://slimages.macys.com/is/image/MCY/17773207 </v>
      </c>
    </row>
    <row r="45" spans="1:12" ht="39.950000000000003" customHeight="1" x14ac:dyDescent="0.25">
      <c r="A45" s="6" t="s">
        <v>1899</v>
      </c>
      <c r="B45" s="7" t="s">
        <v>1900</v>
      </c>
      <c r="C45" s="8">
        <v>1</v>
      </c>
      <c r="D45" s="9">
        <v>78.11</v>
      </c>
      <c r="E45" s="8" t="s">
        <v>1901</v>
      </c>
      <c r="F45" s="7"/>
      <c r="G45" s="10"/>
      <c r="H45" s="7" t="s">
        <v>3431</v>
      </c>
      <c r="I45" s="7" t="s">
        <v>1902</v>
      </c>
      <c r="J45" s="7" t="s">
        <v>3358</v>
      </c>
      <c r="K45" s="7" t="s">
        <v>3582</v>
      </c>
      <c r="L45" s="11" t="str">
        <f>HYPERLINK("http://slimages.macys.com/is/image/MCY/2620611 ")</f>
        <v xml:space="preserve">http://slimages.macys.com/is/image/MCY/2620611 </v>
      </c>
    </row>
    <row r="46" spans="1:12" ht="39.950000000000003" customHeight="1" x14ac:dyDescent="0.25">
      <c r="A46" s="6" t="s">
        <v>1903</v>
      </c>
      <c r="B46" s="7" t="s">
        <v>1904</v>
      </c>
      <c r="C46" s="8">
        <v>1</v>
      </c>
      <c r="D46" s="9">
        <v>34.99</v>
      </c>
      <c r="E46" s="8" t="s">
        <v>1905</v>
      </c>
      <c r="F46" s="7"/>
      <c r="G46" s="10"/>
      <c r="H46" s="7" t="s">
        <v>3492</v>
      </c>
      <c r="I46" s="7" t="s">
        <v>3536</v>
      </c>
      <c r="J46" s="7" t="s">
        <v>3358</v>
      </c>
      <c r="K46" s="7" t="s">
        <v>3951</v>
      </c>
      <c r="L46" s="11" t="str">
        <f>HYPERLINK("http://slimages.macys.com/is/image/MCY/10198289 ")</f>
        <v xml:space="preserve">http://slimages.macys.com/is/image/MCY/10198289 </v>
      </c>
    </row>
    <row r="47" spans="1:12" ht="39.950000000000003" customHeight="1" x14ac:dyDescent="0.25">
      <c r="A47" s="6" t="s">
        <v>1906</v>
      </c>
      <c r="B47" s="7" t="s">
        <v>1907</v>
      </c>
      <c r="C47" s="8">
        <v>1</v>
      </c>
      <c r="D47" s="9">
        <v>39.99</v>
      </c>
      <c r="E47" s="8" t="s">
        <v>1908</v>
      </c>
      <c r="F47" s="7" t="s">
        <v>3904</v>
      </c>
      <c r="G47" s="10" t="s">
        <v>3947</v>
      </c>
      <c r="H47" s="7" t="s">
        <v>3492</v>
      </c>
      <c r="I47" s="7" t="s">
        <v>2774</v>
      </c>
      <c r="J47" s="7" t="s">
        <v>3379</v>
      </c>
      <c r="K47" s="7" t="s">
        <v>3582</v>
      </c>
      <c r="L47" s="11" t="str">
        <f>HYPERLINK("http://slimages.macys.com/is/image/MCY/16367718 ")</f>
        <v xml:space="preserve">http://slimages.macys.com/is/image/MCY/16367718 </v>
      </c>
    </row>
    <row r="48" spans="1:12" ht="39.950000000000003" customHeight="1" x14ac:dyDescent="0.25">
      <c r="A48" s="6" t="s">
        <v>1909</v>
      </c>
      <c r="B48" s="7" t="s">
        <v>1910</v>
      </c>
      <c r="C48" s="8">
        <v>1</v>
      </c>
      <c r="D48" s="9">
        <v>35.99</v>
      </c>
      <c r="E48" s="8" t="s">
        <v>1911</v>
      </c>
      <c r="F48" s="7" t="s">
        <v>3542</v>
      </c>
      <c r="G48" s="10" t="s">
        <v>4085</v>
      </c>
      <c r="H48" s="7" t="s">
        <v>3471</v>
      </c>
      <c r="I48" s="7" t="s">
        <v>3761</v>
      </c>
      <c r="J48" s="7" t="s">
        <v>3751</v>
      </c>
      <c r="K48" s="7"/>
      <c r="L48" s="11" t="str">
        <f>HYPERLINK("http://slimages.macys.com/is/image/MCY/9526176 ")</f>
        <v xml:space="preserve">http://slimages.macys.com/is/image/MCY/9526176 </v>
      </c>
    </row>
    <row r="49" spans="1:12" ht="39.950000000000003" customHeight="1" x14ac:dyDescent="0.25">
      <c r="A49" s="6" t="s">
        <v>1912</v>
      </c>
      <c r="B49" s="7" t="s">
        <v>1913</v>
      </c>
      <c r="C49" s="8">
        <v>1</v>
      </c>
      <c r="D49" s="9">
        <v>38.99</v>
      </c>
      <c r="E49" s="8" t="s">
        <v>1914</v>
      </c>
      <c r="F49" s="7" t="s">
        <v>3363</v>
      </c>
      <c r="G49" s="10" t="s">
        <v>3760</v>
      </c>
      <c r="H49" s="7" t="s">
        <v>3471</v>
      </c>
      <c r="I49" s="7" t="s">
        <v>3691</v>
      </c>
      <c r="J49" s="7" t="s">
        <v>3692</v>
      </c>
      <c r="K49" s="7" t="s">
        <v>1915</v>
      </c>
      <c r="L49" s="11" t="str">
        <f>HYPERLINK("http://slimages.macys.com/is/image/MCY/9406278 ")</f>
        <v xml:space="preserve">http://slimages.macys.com/is/image/MCY/9406278 </v>
      </c>
    </row>
    <row r="50" spans="1:12" ht="39.950000000000003" customHeight="1" x14ac:dyDescent="0.25">
      <c r="A50" s="6" t="s">
        <v>3093</v>
      </c>
      <c r="B50" s="7" t="s">
        <v>3094</v>
      </c>
      <c r="C50" s="8">
        <v>1</v>
      </c>
      <c r="D50" s="9">
        <v>31.99</v>
      </c>
      <c r="E50" s="8">
        <v>64100</v>
      </c>
      <c r="F50" s="7" t="s">
        <v>3363</v>
      </c>
      <c r="G50" s="10" t="s">
        <v>3460</v>
      </c>
      <c r="H50" s="7" t="s">
        <v>3388</v>
      </c>
      <c r="I50" s="7" t="s">
        <v>3389</v>
      </c>
      <c r="J50" s="7" t="s">
        <v>3358</v>
      </c>
      <c r="K50" s="7" t="s">
        <v>3095</v>
      </c>
      <c r="L50" s="11" t="str">
        <f>HYPERLINK("http://slimages.macys.com/is/image/MCY/13768152 ")</f>
        <v xml:space="preserve">http://slimages.macys.com/is/image/MCY/13768152 </v>
      </c>
    </row>
    <row r="51" spans="1:12" ht="39.950000000000003" customHeight="1" x14ac:dyDescent="0.25">
      <c r="A51" s="6" t="s">
        <v>1916</v>
      </c>
      <c r="B51" s="7" t="s">
        <v>1917</v>
      </c>
      <c r="C51" s="8">
        <v>1</v>
      </c>
      <c r="D51" s="9">
        <v>24.99</v>
      </c>
      <c r="E51" s="8" t="s">
        <v>1918</v>
      </c>
      <c r="F51" s="7" t="s">
        <v>3355</v>
      </c>
      <c r="G51" s="10"/>
      <c r="H51" s="7" t="s">
        <v>3526</v>
      </c>
      <c r="I51" s="7" t="s">
        <v>3527</v>
      </c>
      <c r="J51" s="7"/>
      <c r="K51" s="7"/>
      <c r="L51" s="11" t="str">
        <f>HYPERLINK("http://slimages.macys.com/is/image/MCY/17923602 ")</f>
        <v xml:space="preserve">http://slimages.macys.com/is/image/MCY/17923602 </v>
      </c>
    </row>
    <row r="52" spans="1:12" ht="39.950000000000003" customHeight="1" x14ac:dyDescent="0.25">
      <c r="A52" s="6" t="s">
        <v>1919</v>
      </c>
      <c r="B52" s="7" t="s">
        <v>1920</v>
      </c>
      <c r="C52" s="8">
        <v>1</v>
      </c>
      <c r="D52" s="9">
        <v>29.99</v>
      </c>
      <c r="E52" s="8" t="s">
        <v>1921</v>
      </c>
      <c r="F52" s="7"/>
      <c r="G52" s="10"/>
      <c r="H52" s="7" t="s">
        <v>3412</v>
      </c>
      <c r="I52" s="7" t="s">
        <v>3969</v>
      </c>
      <c r="J52" s="7" t="s">
        <v>3358</v>
      </c>
      <c r="K52" s="7" t="s">
        <v>3390</v>
      </c>
      <c r="L52" s="11" t="str">
        <f>HYPERLINK("http://slimages.macys.com/is/image/MCY/16143264 ")</f>
        <v xml:space="preserve">http://slimages.macys.com/is/image/MCY/16143264 </v>
      </c>
    </row>
    <row r="53" spans="1:12" ht="39.950000000000003" customHeight="1" x14ac:dyDescent="0.25">
      <c r="A53" s="6" t="s">
        <v>1922</v>
      </c>
      <c r="B53" s="7" t="s">
        <v>1923</v>
      </c>
      <c r="C53" s="8">
        <v>2</v>
      </c>
      <c r="D53" s="9">
        <v>59.98</v>
      </c>
      <c r="E53" s="8" t="s">
        <v>3977</v>
      </c>
      <c r="F53" s="7" t="s">
        <v>3363</v>
      </c>
      <c r="G53" s="10"/>
      <c r="H53" s="7" t="s">
        <v>3408</v>
      </c>
      <c r="I53" s="7" t="s">
        <v>3409</v>
      </c>
      <c r="J53" s="7" t="s">
        <v>3751</v>
      </c>
      <c r="K53" s="7" t="s">
        <v>3582</v>
      </c>
      <c r="L53" s="11" t="str">
        <f>HYPERLINK("http://slimages.macys.com/is/image/MCY/11320819 ")</f>
        <v xml:space="preserve">http://slimages.macys.com/is/image/MCY/11320819 </v>
      </c>
    </row>
    <row r="54" spans="1:12" ht="39.950000000000003" customHeight="1" x14ac:dyDescent="0.25">
      <c r="A54" s="6" t="s">
        <v>1924</v>
      </c>
      <c r="B54" s="7" t="s">
        <v>1925</v>
      </c>
      <c r="C54" s="8">
        <v>1</v>
      </c>
      <c r="D54" s="9">
        <v>29.99</v>
      </c>
      <c r="E54" s="8" t="s">
        <v>1926</v>
      </c>
      <c r="F54" s="7" t="s">
        <v>3802</v>
      </c>
      <c r="G54" s="10" t="s">
        <v>3504</v>
      </c>
      <c r="H54" s="7" t="s">
        <v>3356</v>
      </c>
      <c r="I54" s="7" t="s">
        <v>3736</v>
      </c>
      <c r="J54" s="7" t="s">
        <v>3358</v>
      </c>
      <c r="K54" s="7" t="s">
        <v>3390</v>
      </c>
      <c r="L54" s="11" t="str">
        <f>HYPERLINK("http://slimages.macys.com/is/image/MCY/8589764 ")</f>
        <v xml:space="preserve">http://slimages.macys.com/is/image/MCY/8589764 </v>
      </c>
    </row>
    <row r="55" spans="1:12" ht="39.950000000000003" customHeight="1" x14ac:dyDescent="0.25">
      <c r="A55" s="6" t="s">
        <v>1927</v>
      </c>
      <c r="B55" s="7" t="s">
        <v>1928</v>
      </c>
      <c r="C55" s="8">
        <v>1</v>
      </c>
      <c r="D55" s="9">
        <v>25.99</v>
      </c>
      <c r="E55" s="8" t="s">
        <v>1929</v>
      </c>
      <c r="F55" s="7" t="s">
        <v>3417</v>
      </c>
      <c r="G55" s="10"/>
      <c r="H55" s="7" t="s">
        <v>4165</v>
      </c>
      <c r="I55" s="7" t="s">
        <v>4166</v>
      </c>
      <c r="J55" s="7" t="s">
        <v>3692</v>
      </c>
      <c r="K55" s="7" t="s">
        <v>4167</v>
      </c>
      <c r="L55" s="11" t="str">
        <f>HYPERLINK("http://slimages.macys.com/is/image/MCY/9898874 ")</f>
        <v xml:space="preserve">http://slimages.macys.com/is/image/MCY/9898874 </v>
      </c>
    </row>
    <row r="56" spans="1:12" ht="39.950000000000003" customHeight="1" x14ac:dyDescent="0.25">
      <c r="A56" s="6" t="s">
        <v>1930</v>
      </c>
      <c r="B56" s="7" t="s">
        <v>1931</v>
      </c>
      <c r="C56" s="8">
        <v>1</v>
      </c>
      <c r="D56" s="9">
        <v>19.989999999999998</v>
      </c>
      <c r="E56" s="8">
        <v>1005141300</v>
      </c>
      <c r="F56" s="7" t="s">
        <v>3525</v>
      </c>
      <c r="G56" s="10"/>
      <c r="H56" s="7" t="s">
        <v>4165</v>
      </c>
      <c r="I56" s="7" t="s">
        <v>1932</v>
      </c>
      <c r="J56" s="7" t="s">
        <v>3358</v>
      </c>
      <c r="K56" s="7" t="s">
        <v>1933</v>
      </c>
      <c r="L56" s="11" t="str">
        <f>HYPERLINK("http://slimages.macys.com/is/image/MCY/12042770 ")</f>
        <v xml:space="preserve">http://slimages.macys.com/is/image/MCY/12042770 </v>
      </c>
    </row>
    <row r="57" spans="1:12" ht="39.950000000000003" customHeight="1" x14ac:dyDescent="0.25">
      <c r="A57" s="6" t="s">
        <v>1934</v>
      </c>
      <c r="B57" s="7" t="s">
        <v>1935</v>
      </c>
      <c r="C57" s="8">
        <v>1</v>
      </c>
      <c r="D57" s="9">
        <v>22.99</v>
      </c>
      <c r="E57" s="8" t="s">
        <v>1936</v>
      </c>
      <c r="F57" s="7" t="s">
        <v>3363</v>
      </c>
      <c r="G57" s="10"/>
      <c r="H57" s="7" t="s">
        <v>3412</v>
      </c>
      <c r="I57" s="7" t="s">
        <v>1937</v>
      </c>
      <c r="J57" s="7" t="s">
        <v>3358</v>
      </c>
      <c r="K57" s="7" t="s">
        <v>3390</v>
      </c>
      <c r="L57" s="11" t="str">
        <f>HYPERLINK("http://slimages.macys.com/is/image/MCY/10182052 ")</f>
        <v xml:space="preserve">http://slimages.macys.com/is/image/MCY/10182052 </v>
      </c>
    </row>
    <row r="58" spans="1:12" ht="39.950000000000003" customHeight="1" x14ac:dyDescent="0.25">
      <c r="A58" s="6" t="s">
        <v>1938</v>
      </c>
      <c r="B58" s="7" t="s">
        <v>1939</v>
      </c>
      <c r="C58" s="8">
        <v>4</v>
      </c>
      <c r="D58" s="9">
        <v>67.959999999999994</v>
      </c>
      <c r="E58" s="8" t="s">
        <v>1940</v>
      </c>
      <c r="F58" s="7" t="s">
        <v>3384</v>
      </c>
      <c r="G58" s="10" t="s">
        <v>3532</v>
      </c>
      <c r="H58" s="7" t="s">
        <v>3482</v>
      </c>
      <c r="I58" s="7" t="s">
        <v>3618</v>
      </c>
      <c r="J58" s="7" t="s">
        <v>3358</v>
      </c>
      <c r="K58" s="7" t="s">
        <v>3484</v>
      </c>
      <c r="L58" s="11" t="str">
        <f>HYPERLINK("http://slimages.macys.com/is/image/MCY/12737864 ")</f>
        <v xml:space="preserve">http://slimages.macys.com/is/image/MCY/12737864 </v>
      </c>
    </row>
    <row r="59" spans="1:12" ht="39.950000000000003" customHeight="1" x14ac:dyDescent="0.25">
      <c r="A59" s="6" t="s">
        <v>1941</v>
      </c>
      <c r="B59" s="7" t="s">
        <v>1942</v>
      </c>
      <c r="C59" s="8">
        <v>2</v>
      </c>
      <c r="D59" s="9">
        <v>79.98</v>
      </c>
      <c r="E59" s="8" t="s">
        <v>1943</v>
      </c>
      <c r="F59" s="7" t="s">
        <v>4021</v>
      </c>
      <c r="G59" s="10"/>
      <c r="H59" s="7" t="s">
        <v>3601</v>
      </c>
      <c r="I59" s="7" t="s">
        <v>2657</v>
      </c>
      <c r="J59" s="7"/>
      <c r="K59" s="7"/>
      <c r="L59" s="11" t="str">
        <f>HYPERLINK("http://slimages.macys.com/is/image/MCY/17318219 ")</f>
        <v xml:space="preserve">http://slimages.macys.com/is/image/MCY/17318219 </v>
      </c>
    </row>
    <row r="60" spans="1:12" ht="39.950000000000003" customHeight="1" x14ac:dyDescent="0.25">
      <c r="A60" s="6" t="s">
        <v>1944</v>
      </c>
      <c r="B60" s="7" t="s">
        <v>1752</v>
      </c>
      <c r="C60" s="8">
        <v>6</v>
      </c>
      <c r="D60" s="9">
        <v>180</v>
      </c>
      <c r="E60" s="8">
        <v>1004097900</v>
      </c>
      <c r="F60" s="7" t="s">
        <v>3498</v>
      </c>
      <c r="G60" s="10" t="s">
        <v>3532</v>
      </c>
      <c r="H60" s="7" t="s">
        <v>3372</v>
      </c>
      <c r="I60" s="7" t="s">
        <v>1753</v>
      </c>
      <c r="J60" s="7" t="s">
        <v>3813</v>
      </c>
      <c r="K60" s="7" t="s">
        <v>4138</v>
      </c>
      <c r="L60" s="11" t="str">
        <f>HYPERLINK("http://images.bloomingdales.com/is/image/BLM/10230660 ")</f>
        <v xml:space="preserve">http://images.bloomingdales.com/is/image/BLM/10230660 </v>
      </c>
    </row>
    <row r="61" spans="1:12" ht="39.950000000000003" customHeight="1" x14ac:dyDescent="0.25">
      <c r="A61" s="6" t="s">
        <v>1945</v>
      </c>
      <c r="B61" s="7" t="s">
        <v>1946</v>
      </c>
      <c r="C61" s="8">
        <v>2</v>
      </c>
      <c r="D61" s="9">
        <v>19.98</v>
      </c>
      <c r="E61" s="8">
        <v>1010838700</v>
      </c>
      <c r="F61" s="7" t="s">
        <v>3673</v>
      </c>
      <c r="G61" s="10" t="s">
        <v>3532</v>
      </c>
      <c r="H61" s="7" t="s">
        <v>3482</v>
      </c>
      <c r="I61" s="7" t="s">
        <v>3483</v>
      </c>
      <c r="J61" s="7"/>
      <c r="K61" s="7"/>
      <c r="L61" s="11" t="str">
        <f>HYPERLINK("http://slimages.macys.com/is/image/MCY/17746088 ")</f>
        <v xml:space="preserve">http://slimages.macys.com/is/image/MCY/17746088 </v>
      </c>
    </row>
    <row r="62" spans="1:12" ht="39.950000000000003" customHeight="1" x14ac:dyDescent="0.25">
      <c r="A62" s="6" t="s">
        <v>1947</v>
      </c>
      <c r="B62" s="7" t="s">
        <v>1948</v>
      </c>
      <c r="C62" s="8">
        <v>1</v>
      </c>
      <c r="D62" s="9">
        <v>7.99</v>
      </c>
      <c r="E62" s="8" t="s">
        <v>1949</v>
      </c>
      <c r="F62" s="7" t="s">
        <v>3363</v>
      </c>
      <c r="G62" s="10" t="s">
        <v>4192</v>
      </c>
      <c r="H62" s="7" t="s">
        <v>3482</v>
      </c>
      <c r="I62" s="7" t="s">
        <v>3618</v>
      </c>
      <c r="J62" s="7" t="s">
        <v>3358</v>
      </c>
      <c r="K62" s="7" t="s">
        <v>3484</v>
      </c>
      <c r="L62" s="11" t="str">
        <f>HYPERLINK("http://slimages.macys.com/is/image/MCY/12737732 ")</f>
        <v xml:space="preserve">http://slimages.macys.com/is/image/MCY/12737732 </v>
      </c>
    </row>
    <row r="63" spans="1:12" ht="39.950000000000003" customHeight="1" x14ac:dyDescent="0.25">
      <c r="A63" s="6" t="s">
        <v>2597</v>
      </c>
      <c r="B63" s="7" t="s">
        <v>2598</v>
      </c>
      <c r="C63" s="8">
        <v>1</v>
      </c>
      <c r="D63" s="9">
        <v>82.5</v>
      </c>
      <c r="E63" s="8"/>
      <c r="F63" s="7" t="s">
        <v>3542</v>
      </c>
      <c r="G63" s="10" t="s">
        <v>3504</v>
      </c>
      <c r="H63" s="7" t="s">
        <v>3543</v>
      </c>
      <c r="I63" s="7" t="s">
        <v>3544</v>
      </c>
      <c r="J63" s="7"/>
      <c r="K63" s="7"/>
      <c r="L63" s="11"/>
    </row>
    <row r="64" spans="1:12" ht="39.950000000000003" customHeight="1" x14ac:dyDescent="0.25">
      <c r="A64" s="6" t="s">
        <v>3540</v>
      </c>
      <c r="B64" s="7" t="s">
        <v>3541</v>
      </c>
      <c r="C64" s="8">
        <v>2</v>
      </c>
      <c r="D64" s="9">
        <v>80</v>
      </c>
      <c r="E64" s="8"/>
      <c r="F64" s="7" t="s">
        <v>3542</v>
      </c>
      <c r="G64" s="10" t="s">
        <v>3504</v>
      </c>
      <c r="H64" s="7" t="s">
        <v>3543</v>
      </c>
      <c r="I64" s="7" t="s">
        <v>3544</v>
      </c>
      <c r="J64" s="7"/>
      <c r="K64" s="7"/>
      <c r="L64" s="11"/>
    </row>
  </sheetData>
  <phoneticPr fontId="0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1950</v>
      </c>
      <c r="B2" s="7" t="s">
        <v>1951</v>
      </c>
      <c r="C2" s="8">
        <v>1</v>
      </c>
      <c r="D2" s="9">
        <v>349.99</v>
      </c>
      <c r="E2" s="8" t="s">
        <v>1952</v>
      </c>
      <c r="F2" s="7" t="s">
        <v>3503</v>
      </c>
      <c r="G2" s="10"/>
      <c r="H2" s="7" t="s">
        <v>3876</v>
      </c>
      <c r="I2" s="7" t="s">
        <v>3894</v>
      </c>
      <c r="J2" s="7"/>
      <c r="K2" s="7"/>
      <c r="L2" s="11" t="str">
        <f>HYPERLINK("http://slimages.macys.com/is/image/MCY/17979324 ")</f>
        <v xml:space="preserve">http://slimages.macys.com/is/image/MCY/17979324 </v>
      </c>
    </row>
    <row r="3" spans="1:12" ht="39.950000000000003" customHeight="1" x14ac:dyDescent="0.25">
      <c r="A3" s="6" t="s">
        <v>1953</v>
      </c>
      <c r="B3" s="7" t="s">
        <v>1954</v>
      </c>
      <c r="C3" s="8">
        <v>1</v>
      </c>
      <c r="D3" s="9">
        <v>62.99</v>
      </c>
      <c r="E3" s="8" t="s">
        <v>1955</v>
      </c>
      <c r="F3" s="7" t="s">
        <v>3363</v>
      </c>
      <c r="G3" s="10" t="s">
        <v>3504</v>
      </c>
      <c r="H3" s="7" t="s">
        <v>3388</v>
      </c>
      <c r="I3" s="7" t="s">
        <v>2606</v>
      </c>
      <c r="J3" s="7" t="s">
        <v>1956</v>
      </c>
      <c r="K3" s="7" t="s">
        <v>1957</v>
      </c>
      <c r="L3" s="11" t="str">
        <f>HYPERLINK("http://slimages.macys.com/is/image/MCY/15792905 ")</f>
        <v xml:space="preserve">http://slimages.macys.com/is/image/MCY/15792905 </v>
      </c>
    </row>
    <row r="4" spans="1:12" ht="39.950000000000003" customHeight="1" x14ac:dyDescent="0.25">
      <c r="A4" s="6" t="s">
        <v>1958</v>
      </c>
      <c r="B4" s="7" t="s">
        <v>1959</v>
      </c>
      <c r="C4" s="8">
        <v>1</v>
      </c>
      <c r="D4" s="9">
        <v>249.99</v>
      </c>
      <c r="E4" s="8" t="s">
        <v>1960</v>
      </c>
      <c r="F4" s="7" t="s">
        <v>3498</v>
      </c>
      <c r="G4" s="10"/>
      <c r="H4" s="7" t="s">
        <v>3876</v>
      </c>
      <c r="I4" s="7" t="s">
        <v>4250</v>
      </c>
      <c r="J4" s="7"/>
      <c r="K4" s="7"/>
      <c r="L4" s="11" t="str">
        <f>HYPERLINK("http://slimages.macys.com/is/image/MCY/17552582 ")</f>
        <v xml:space="preserve">http://slimages.macys.com/is/image/MCY/17552582 </v>
      </c>
    </row>
    <row r="5" spans="1:12" ht="39.950000000000003" customHeight="1" x14ac:dyDescent="0.25">
      <c r="A5" s="6" t="s">
        <v>1961</v>
      </c>
      <c r="B5" s="7" t="s">
        <v>1962</v>
      </c>
      <c r="C5" s="8">
        <v>1</v>
      </c>
      <c r="D5" s="9">
        <v>199.99</v>
      </c>
      <c r="E5" s="8" t="s">
        <v>1963</v>
      </c>
      <c r="F5" s="7" t="s">
        <v>3363</v>
      </c>
      <c r="G5" s="10"/>
      <c r="H5" s="7" t="s">
        <v>3397</v>
      </c>
      <c r="I5" s="7" t="s">
        <v>2501</v>
      </c>
      <c r="J5" s="7" t="s">
        <v>3358</v>
      </c>
      <c r="K5" s="7" t="s">
        <v>3582</v>
      </c>
      <c r="L5" s="11" t="str">
        <f>HYPERLINK("http://slimages.macys.com/is/image/MCY/15348539 ")</f>
        <v xml:space="preserve">http://slimages.macys.com/is/image/MCY/15348539 </v>
      </c>
    </row>
    <row r="6" spans="1:12" ht="39.950000000000003" customHeight="1" x14ac:dyDescent="0.25">
      <c r="A6" s="6" t="s">
        <v>3559</v>
      </c>
      <c r="B6" s="7" t="s">
        <v>3560</v>
      </c>
      <c r="C6" s="8">
        <v>2</v>
      </c>
      <c r="D6" s="9">
        <v>519.98</v>
      </c>
      <c r="E6" s="8" t="s">
        <v>3561</v>
      </c>
      <c r="F6" s="7" t="s">
        <v>3363</v>
      </c>
      <c r="G6" s="10"/>
      <c r="H6" s="7" t="s">
        <v>3365</v>
      </c>
      <c r="I6" s="7" t="s">
        <v>3366</v>
      </c>
      <c r="J6" s="7" t="s">
        <v>3358</v>
      </c>
      <c r="K6" s="7" t="s">
        <v>3367</v>
      </c>
      <c r="L6" s="11" t="str">
        <f>HYPERLINK("http://slimages.macys.com/is/image/MCY/11953123 ")</f>
        <v xml:space="preserve">http://slimages.macys.com/is/image/MCY/11953123 </v>
      </c>
    </row>
    <row r="7" spans="1:12" ht="39.950000000000003" customHeight="1" x14ac:dyDescent="0.25">
      <c r="A7" s="6" t="s">
        <v>1964</v>
      </c>
      <c r="B7" s="7" t="s">
        <v>1965</v>
      </c>
      <c r="C7" s="8">
        <v>1</v>
      </c>
      <c r="D7" s="9">
        <v>179.99</v>
      </c>
      <c r="E7" s="8" t="s">
        <v>1966</v>
      </c>
      <c r="F7" s="7" t="s">
        <v>3481</v>
      </c>
      <c r="G7" s="10"/>
      <c r="H7" s="7" t="s">
        <v>3827</v>
      </c>
      <c r="I7" s="7" t="s">
        <v>3828</v>
      </c>
      <c r="J7" s="7"/>
      <c r="K7" s="7"/>
      <c r="L7" s="11" t="str">
        <f>HYPERLINK("http://slimages.macys.com/is/image/MCY/16608845 ")</f>
        <v xml:space="preserve">http://slimages.macys.com/is/image/MCY/16608845 </v>
      </c>
    </row>
    <row r="8" spans="1:12" ht="39.950000000000003" customHeight="1" x14ac:dyDescent="0.25">
      <c r="A8" s="6" t="s">
        <v>1967</v>
      </c>
      <c r="B8" s="7" t="s">
        <v>1968</v>
      </c>
      <c r="C8" s="8">
        <v>1</v>
      </c>
      <c r="D8" s="9">
        <v>249.99</v>
      </c>
      <c r="E8" s="8" t="s">
        <v>1969</v>
      </c>
      <c r="F8" s="7" t="s">
        <v>3925</v>
      </c>
      <c r="G8" s="10"/>
      <c r="H8" s="7" t="s">
        <v>3365</v>
      </c>
      <c r="I8" s="7" t="s">
        <v>2522</v>
      </c>
      <c r="J8" s="7"/>
      <c r="K8" s="7"/>
      <c r="L8" s="11" t="str">
        <f>HYPERLINK("http://slimages.macys.com/is/image/MCY/18173125 ")</f>
        <v xml:space="preserve">http://slimages.macys.com/is/image/MCY/18173125 </v>
      </c>
    </row>
    <row r="9" spans="1:12" ht="39.950000000000003" customHeight="1" x14ac:dyDescent="0.25">
      <c r="A9" s="6" t="s">
        <v>1970</v>
      </c>
      <c r="B9" s="7" t="s">
        <v>1971</v>
      </c>
      <c r="C9" s="8">
        <v>1</v>
      </c>
      <c r="D9" s="9">
        <v>205.99</v>
      </c>
      <c r="E9" s="8" t="s">
        <v>1972</v>
      </c>
      <c r="F9" s="7" t="s">
        <v>3384</v>
      </c>
      <c r="G9" s="10"/>
      <c r="H9" s="7" t="s">
        <v>3492</v>
      </c>
      <c r="I9" s="7" t="s">
        <v>3669</v>
      </c>
      <c r="J9" s="7" t="s">
        <v>3358</v>
      </c>
      <c r="K9" s="7" t="s">
        <v>3582</v>
      </c>
      <c r="L9" s="11" t="str">
        <f>HYPERLINK("http://slimages.macys.com/is/image/MCY/15504506 ")</f>
        <v xml:space="preserve">http://slimages.macys.com/is/image/MCY/15504506 </v>
      </c>
    </row>
    <row r="10" spans="1:12" ht="39.950000000000003" customHeight="1" x14ac:dyDescent="0.25">
      <c r="A10" s="6" t="s">
        <v>1973</v>
      </c>
      <c r="B10" s="7" t="s">
        <v>1974</v>
      </c>
      <c r="C10" s="8">
        <v>1</v>
      </c>
      <c r="D10" s="9">
        <v>169.99</v>
      </c>
      <c r="E10" s="8" t="s">
        <v>1975</v>
      </c>
      <c r="F10" s="7" t="s">
        <v>3363</v>
      </c>
      <c r="G10" s="10"/>
      <c r="H10" s="7" t="s">
        <v>3601</v>
      </c>
      <c r="I10" s="7" t="s">
        <v>1976</v>
      </c>
      <c r="J10" s="7"/>
      <c r="K10" s="7"/>
      <c r="L10" s="11" t="str">
        <f>HYPERLINK("http://slimages.macys.com/is/image/MCY/18242294 ")</f>
        <v xml:space="preserve">http://slimages.macys.com/is/image/MCY/18242294 </v>
      </c>
    </row>
    <row r="11" spans="1:12" ht="39.950000000000003" customHeight="1" x14ac:dyDescent="0.25">
      <c r="A11" s="6" t="s">
        <v>1977</v>
      </c>
      <c r="B11" s="7" t="s">
        <v>1978</v>
      </c>
      <c r="C11" s="8">
        <v>1</v>
      </c>
      <c r="D11" s="9">
        <v>139.99</v>
      </c>
      <c r="E11" s="8" t="s">
        <v>1979</v>
      </c>
      <c r="F11" s="7" t="s">
        <v>3525</v>
      </c>
      <c r="G11" s="10"/>
      <c r="H11" s="7" t="s">
        <v>3356</v>
      </c>
      <c r="I11" s="7" t="s">
        <v>3436</v>
      </c>
      <c r="J11" s="7" t="s">
        <v>3358</v>
      </c>
      <c r="K11" s="7" t="s">
        <v>1980</v>
      </c>
      <c r="L11" s="11" t="str">
        <f>HYPERLINK("http://slimages.macys.com/is/image/MCY/10989486 ")</f>
        <v xml:space="preserve">http://slimages.macys.com/is/image/MCY/10989486 </v>
      </c>
    </row>
    <row r="12" spans="1:12" ht="39.950000000000003" customHeight="1" x14ac:dyDescent="0.25">
      <c r="A12" s="6" t="s">
        <v>1981</v>
      </c>
      <c r="B12" s="7" t="s">
        <v>1982</v>
      </c>
      <c r="C12" s="8">
        <v>2</v>
      </c>
      <c r="D12" s="9">
        <v>239.98</v>
      </c>
      <c r="E12" s="8" t="s">
        <v>1983</v>
      </c>
      <c r="F12" s="7" t="s">
        <v>3363</v>
      </c>
      <c r="G12" s="10" t="s">
        <v>3364</v>
      </c>
      <c r="H12" s="7" t="s">
        <v>3377</v>
      </c>
      <c r="I12" s="7" t="s">
        <v>3548</v>
      </c>
      <c r="J12" s="7"/>
      <c r="K12" s="7"/>
      <c r="L12" s="11" t="str">
        <f>HYPERLINK("http://slimages.macys.com/is/image/MCY/17580850 ")</f>
        <v xml:space="preserve">http://slimages.macys.com/is/image/MCY/17580850 </v>
      </c>
    </row>
    <row r="13" spans="1:12" ht="39.950000000000003" customHeight="1" x14ac:dyDescent="0.25">
      <c r="A13" s="6" t="s">
        <v>1804</v>
      </c>
      <c r="B13" s="7" t="s">
        <v>1805</v>
      </c>
      <c r="C13" s="8">
        <v>1</v>
      </c>
      <c r="D13" s="9">
        <v>149.99</v>
      </c>
      <c r="E13" s="8" t="s">
        <v>1806</v>
      </c>
      <c r="F13" s="7" t="s">
        <v>3477</v>
      </c>
      <c r="G13" s="10"/>
      <c r="H13" s="7" t="s">
        <v>3408</v>
      </c>
      <c r="I13" s="7" t="s">
        <v>3409</v>
      </c>
      <c r="J13" s="7" t="s">
        <v>3358</v>
      </c>
      <c r="K13" s="7"/>
      <c r="L13" s="11" t="str">
        <f>HYPERLINK("http://slimages.macys.com/is/image/MCY/15105811 ")</f>
        <v xml:space="preserve">http://slimages.macys.com/is/image/MCY/15105811 </v>
      </c>
    </row>
    <row r="14" spans="1:12" ht="39.950000000000003" customHeight="1" x14ac:dyDescent="0.25">
      <c r="A14" s="6" t="s">
        <v>1984</v>
      </c>
      <c r="B14" s="7" t="s">
        <v>1985</v>
      </c>
      <c r="C14" s="8">
        <v>1</v>
      </c>
      <c r="D14" s="9">
        <v>104.99</v>
      </c>
      <c r="E14" s="8" t="s">
        <v>1986</v>
      </c>
      <c r="F14" s="7" t="s">
        <v>3363</v>
      </c>
      <c r="G14" s="10" t="s">
        <v>3645</v>
      </c>
      <c r="H14" s="7" t="s">
        <v>3471</v>
      </c>
      <c r="I14" s="7" t="s">
        <v>3378</v>
      </c>
      <c r="J14" s="7" t="s">
        <v>3379</v>
      </c>
      <c r="K14" s="7" t="s">
        <v>4074</v>
      </c>
      <c r="L14" s="11" t="str">
        <f>HYPERLINK("http://slimages.macys.com/is/image/MCY/8589816 ")</f>
        <v xml:space="preserve">http://slimages.macys.com/is/image/MCY/8589816 </v>
      </c>
    </row>
    <row r="15" spans="1:12" ht="39.950000000000003" customHeight="1" x14ac:dyDescent="0.25">
      <c r="A15" s="6" t="s">
        <v>1987</v>
      </c>
      <c r="B15" s="7" t="s">
        <v>1988</v>
      </c>
      <c r="C15" s="8">
        <v>1</v>
      </c>
      <c r="D15" s="9">
        <v>85.99</v>
      </c>
      <c r="E15" s="8" t="s">
        <v>1989</v>
      </c>
      <c r="F15" s="7" t="s">
        <v>3371</v>
      </c>
      <c r="G15" s="10" t="s">
        <v>3504</v>
      </c>
      <c r="H15" s="7" t="s">
        <v>3515</v>
      </c>
      <c r="I15" s="7" t="s">
        <v>1990</v>
      </c>
      <c r="J15" s="7" t="s">
        <v>3358</v>
      </c>
      <c r="K15" s="7" t="s">
        <v>3506</v>
      </c>
      <c r="L15" s="11" t="str">
        <f>HYPERLINK("http://slimages.macys.com/is/image/MCY/13971256 ")</f>
        <v xml:space="preserve">http://slimages.macys.com/is/image/MCY/13971256 </v>
      </c>
    </row>
    <row r="16" spans="1:12" ht="39.950000000000003" customHeight="1" x14ac:dyDescent="0.25">
      <c r="A16" s="6" t="s">
        <v>1991</v>
      </c>
      <c r="B16" s="7" t="s">
        <v>1992</v>
      </c>
      <c r="C16" s="8">
        <v>1</v>
      </c>
      <c r="D16" s="9">
        <v>99.99</v>
      </c>
      <c r="E16" s="8" t="s">
        <v>1993</v>
      </c>
      <c r="F16" s="7" t="s">
        <v>3363</v>
      </c>
      <c r="G16" s="10"/>
      <c r="H16" s="7" t="s">
        <v>3422</v>
      </c>
      <c r="I16" s="7" t="s">
        <v>3423</v>
      </c>
      <c r="J16" s="7" t="s">
        <v>3358</v>
      </c>
      <c r="K16" s="7" t="s">
        <v>3582</v>
      </c>
      <c r="L16" s="11" t="str">
        <f>HYPERLINK("http://slimages.macys.com/is/image/MCY/16560051 ")</f>
        <v xml:space="preserve">http://slimages.macys.com/is/image/MCY/16560051 </v>
      </c>
    </row>
    <row r="17" spans="1:12" ht="39.950000000000003" customHeight="1" x14ac:dyDescent="0.25">
      <c r="A17" s="6" t="s">
        <v>1994</v>
      </c>
      <c r="B17" s="7" t="s">
        <v>1995</v>
      </c>
      <c r="C17" s="8">
        <v>1</v>
      </c>
      <c r="D17" s="9">
        <v>79.989999999999995</v>
      </c>
      <c r="E17" s="8" t="s">
        <v>1996</v>
      </c>
      <c r="F17" s="7" t="s">
        <v>3384</v>
      </c>
      <c r="G17" s="10"/>
      <c r="H17" s="7" t="s">
        <v>3397</v>
      </c>
      <c r="I17" s="7" t="s">
        <v>3590</v>
      </c>
      <c r="J17" s="7" t="s">
        <v>3358</v>
      </c>
      <c r="K17" s="7"/>
      <c r="L17" s="11" t="str">
        <f>HYPERLINK("http://slimages.macys.com/is/image/MCY/8095477 ")</f>
        <v xml:space="preserve">http://slimages.macys.com/is/image/MCY/8095477 </v>
      </c>
    </row>
    <row r="18" spans="1:12" ht="39.950000000000003" customHeight="1" x14ac:dyDescent="0.25">
      <c r="A18" s="6" t="s">
        <v>1997</v>
      </c>
      <c r="B18" s="7" t="s">
        <v>1998</v>
      </c>
      <c r="C18" s="8">
        <v>1</v>
      </c>
      <c r="D18" s="9">
        <v>79.989999999999995</v>
      </c>
      <c r="E18" s="8" t="s">
        <v>1999</v>
      </c>
      <c r="F18" s="7" t="s">
        <v>3363</v>
      </c>
      <c r="G18" s="10" t="s">
        <v>3663</v>
      </c>
      <c r="H18" s="7" t="s">
        <v>3471</v>
      </c>
      <c r="I18" s="7" t="s">
        <v>2919</v>
      </c>
      <c r="J18" s="7" t="s">
        <v>3358</v>
      </c>
      <c r="K18" s="7" t="s">
        <v>2000</v>
      </c>
      <c r="L18" s="11" t="str">
        <f>HYPERLINK("http://slimages.macys.com/is/image/MCY/11473841 ")</f>
        <v xml:space="preserve">http://slimages.macys.com/is/image/MCY/11473841 </v>
      </c>
    </row>
    <row r="19" spans="1:12" ht="39.950000000000003" customHeight="1" x14ac:dyDescent="0.25">
      <c r="A19" s="6" t="s">
        <v>2001</v>
      </c>
      <c r="B19" s="7" t="s">
        <v>2002</v>
      </c>
      <c r="C19" s="8">
        <v>1</v>
      </c>
      <c r="D19" s="9">
        <v>49.99</v>
      </c>
      <c r="E19" s="8">
        <v>21340338</v>
      </c>
      <c r="F19" s="7" t="s">
        <v>3363</v>
      </c>
      <c r="G19" s="10"/>
      <c r="H19" s="7" t="s">
        <v>3526</v>
      </c>
      <c r="I19" s="7" t="s">
        <v>3413</v>
      </c>
      <c r="J19" s="7" t="s">
        <v>3358</v>
      </c>
      <c r="K19" s="7" t="s">
        <v>4002</v>
      </c>
      <c r="L19" s="11" t="str">
        <f>HYPERLINK("http://slimages.macys.com/is/image/MCY/15010367 ")</f>
        <v xml:space="preserve">http://slimages.macys.com/is/image/MCY/15010367 </v>
      </c>
    </row>
    <row r="20" spans="1:12" ht="39.950000000000003" customHeight="1" x14ac:dyDescent="0.25">
      <c r="A20" s="6" t="s">
        <v>2003</v>
      </c>
      <c r="B20" s="7" t="s">
        <v>2004</v>
      </c>
      <c r="C20" s="8">
        <v>1</v>
      </c>
      <c r="D20" s="9">
        <v>99.99</v>
      </c>
      <c r="E20" s="8" t="s">
        <v>2005</v>
      </c>
      <c r="F20" s="7"/>
      <c r="G20" s="10"/>
      <c r="H20" s="7" t="s">
        <v>3412</v>
      </c>
      <c r="I20" s="7" t="s">
        <v>3436</v>
      </c>
      <c r="J20" s="7"/>
      <c r="K20" s="7"/>
      <c r="L20" s="11" t="str">
        <f>HYPERLINK("http://slimages.macys.com/is/image/MCY/17565804 ")</f>
        <v xml:space="preserve">http://slimages.macys.com/is/image/MCY/17565804 </v>
      </c>
    </row>
    <row r="21" spans="1:12" ht="39.950000000000003" customHeight="1" x14ac:dyDescent="0.25">
      <c r="A21" s="6" t="s">
        <v>2006</v>
      </c>
      <c r="B21" s="7" t="s">
        <v>2007</v>
      </c>
      <c r="C21" s="8">
        <v>1</v>
      </c>
      <c r="D21" s="9">
        <v>74.989999999999995</v>
      </c>
      <c r="E21" s="8" t="s">
        <v>2008</v>
      </c>
      <c r="F21" s="7" t="s">
        <v>3525</v>
      </c>
      <c r="G21" s="10" t="s">
        <v>3364</v>
      </c>
      <c r="H21" s="7" t="s">
        <v>3422</v>
      </c>
      <c r="I21" s="7" t="s">
        <v>3423</v>
      </c>
      <c r="J21" s="7" t="s">
        <v>3358</v>
      </c>
      <c r="K21" s="7" t="s">
        <v>3901</v>
      </c>
      <c r="L21" s="11" t="str">
        <f>HYPERLINK("http://slimages.macys.com/is/image/MCY/11189242 ")</f>
        <v xml:space="preserve">http://slimages.macys.com/is/image/MCY/11189242 </v>
      </c>
    </row>
    <row r="22" spans="1:12" ht="39.950000000000003" customHeight="1" x14ac:dyDescent="0.25">
      <c r="A22" s="6" t="s">
        <v>2009</v>
      </c>
      <c r="B22" s="7" t="s">
        <v>2010</v>
      </c>
      <c r="C22" s="8">
        <v>1</v>
      </c>
      <c r="D22" s="9">
        <v>54.99</v>
      </c>
      <c r="E22" s="8" t="s">
        <v>2011</v>
      </c>
      <c r="F22" s="7" t="s">
        <v>3802</v>
      </c>
      <c r="G22" s="10" t="s">
        <v>3447</v>
      </c>
      <c r="H22" s="7" t="s">
        <v>3356</v>
      </c>
      <c r="I22" s="7" t="s">
        <v>3448</v>
      </c>
      <c r="J22" s="7" t="s">
        <v>3358</v>
      </c>
      <c r="K22" s="7" t="s">
        <v>3390</v>
      </c>
      <c r="L22" s="11" t="str">
        <f>HYPERLINK("http://slimages.macys.com/is/image/MCY/16197730 ")</f>
        <v xml:space="preserve">http://slimages.macys.com/is/image/MCY/16197730 </v>
      </c>
    </row>
    <row r="23" spans="1:12" ht="39.950000000000003" customHeight="1" x14ac:dyDescent="0.25">
      <c r="A23" s="6" t="s">
        <v>2012</v>
      </c>
      <c r="B23" s="7" t="s">
        <v>2013</v>
      </c>
      <c r="C23" s="8">
        <v>1</v>
      </c>
      <c r="D23" s="9">
        <v>73.989999999999995</v>
      </c>
      <c r="E23" s="8" t="s">
        <v>2014</v>
      </c>
      <c r="F23" s="7" t="s">
        <v>3781</v>
      </c>
      <c r="G23" s="10"/>
      <c r="H23" s="7" t="s">
        <v>3412</v>
      </c>
      <c r="I23" s="7" t="s">
        <v>3510</v>
      </c>
      <c r="J23" s="7" t="s">
        <v>3358</v>
      </c>
      <c r="K23" s="7" t="s">
        <v>4078</v>
      </c>
      <c r="L23" s="11" t="str">
        <f>HYPERLINK("http://slimages.macys.com/is/image/MCY/10005667 ")</f>
        <v xml:space="preserve">http://slimages.macys.com/is/image/MCY/10005667 </v>
      </c>
    </row>
    <row r="24" spans="1:12" ht="39.950000000000003" customHeight="1" x14ac:dyDescent="0.25">
      <c r="A24" s="6" t="s">
        <v>4079</v>
      </c>
      <c r="B24" s="7" t="s">
        <v>4080</v>
      </c>
      <c r="C24" s="8">
        <v>1</v>
      </c>
      <c r="D24" s="9">
        <v>59.99</v>
      </c>
      <c r="E24" s="8">
        <v>82257</v>
      </c>
      <c r="F24" s="7" t="s">
        <v>3481</v>
      </c>
      <c r="G24" s="10"/>
      <c r="H24" s="7" t="s">
        <v>3412</v>
      </c>
      <c r="I24" s="7" t="s">
        <v>3595</v>
      </c>
      <c r="J24" s="7" t="s">
        <v>3358</v>
      </c>
      <c r="K24" s="7" t="s">
        <v>4081</v>
      </c>
      <c r="L24" s="11" t="str">
        <f>HYPERLINK("http://slimages.macys.com/is/image/MCY/16522516 ")</f>
        <v xml:space="preserve">http://slimages.macys.com/is/image/MCY/16522516 </v>
      </c>
    </row>
    <row r="25" spans="1:12" ht="39.950000000000003" customHeight="1" x14ac:dyDescent="0.25">
      <c r="A25" s="6" t="s">
        <v>2015</v>
      </c>
      <c r="B25" s="7" t="s">
        <v>2016</v>
      </c>
      <c r="C25" s="8">
        <v>1</v>
      </c>
      <c r="D25" s="9">
        <v>69.989999999999995</v>
      </c>
      <c r="E25" s="8" t="s">
        <v>2017</v>
      </c>
      <c r="F25" s="7" t="s">
        <v>3477</v>
      </c>
      <c r="G25" s="10"/>
      <c r="H25" s="7" t="s">
        <v>3408</v>
      </c>
      <c r="I25" s="7" t="s">
        <v>4354</v>
      </c>
      <c r="J25" s="7" t="s">
        <v>3358</v>
      </c>
      <c r="K25" s="7" t="s">
        <v>3582</v>
      </c>
      <c r="L25" s="11" t="str">
        <f>HYPERLINK("http://slimages.macys.com/is/image/MCY/17754899 ")</f>
        <v xml:space="preserve">http://slimages.macys.com/is/image/MCY/17754899 </v>
      </c>
    </row>
    <row r="26" spans="1:12" ht="39.950000000000003" customHeight="1" x14ac:dyDescent="0.25">
      <c r="A26" s="6" t="s">
        <v>2018</v>
      </c>
      <c r="B26" s="7" t="s">
        <v>2019</v>
      </c>
      <c r="C26" s="8">
        <v>1</v>
      </c>
      <c r="D26" s="9">
        <v>49.99</v>
      </c>
      <c r="E26" s="8" t="s">
        <v>2020</v>
      </c>
      <c r="F26" s="7" t="s">
        <v>3498</v>
      </c>
      <c r="G26" s="10"/>
      <c r="H26" s="7" t="s">
        <v>3526</v>
      </c>
      <c r="I26" s="7" t="s">
        <v>3865</v>
      </c>
      <c r="J26" s="7"/>
      <c r="K26" s="7"/>
      <c r="L26" s="11" t="str">
        <f>HYPERLINK("http://slimages.macys.com/is/image/MCY/17968749 ")</f>
        <v xml:space="preserve">http://slimages.macys.com/is/image/MCY/17968749 </v>
      </c>
    </row>
    <row r="27" spans="1:12" ht="39.950000000000003" customHeight="1" x14ac:dyDescent="0.25">
      <c r="A27" s="6" t="s">
        <v>4300</v>
      </c>
      <c r="B27" s="7" t="s">
        <v>4301</v>
      </c>
      <c r="C27" s="8">
        <v>1</v>
      </c>
      <c r="D27" s="9">
        <v>49.99</v>
      </c>
      <c r="E27" s="8" t="s">
        <v>4302</v>
      </c>
      <c r="F27" s="7" t="s">
        <v>3477</v>
      </c>
      <c r="G27" s="10"/>
      <c r="H27" s="7" t="s">
        <v>3412</v>
      </c>
      <c r="I27" s="7" t="s">
        <v>3413</v>
      </c>
      <c r="J27" s="7" t="s">
        <v>3358</v>
      </c>
      <c r="K27" s="7" t="s">
        <v>3390</v>
      </c>
      <c r="L27" s="11" t="str">
        <f>HYPERLINK("http://slimages.macys.com/is/image/MCY/8347198 ")</f>
        <v xml:space="preserve">http://slimages.macys.com/is/image/MCY/8347198 </v>
      </c>
    </row>
    <row r="28" spans="1:12" ht="39.950000000000003" customHeight="1" x14ac:dyDescent="0.25">
      <c r="A28" s="6" t="s">
        <v>4102</v>
      </c>
      <c r="B28" s="7" t="s">
        <v>4103</v>
      </c>
      <c r="C28" s="8">
        <v>1</v>
      </c>
      <c r="D28" s="9">
        <v>84.99</v>
      </c>
      <c r="E28" s="8" t="s">
        <v>4104</v>
      </c>
      <c r="F28" s="7" t="s">
        <v>3498</v>
      </c>
      <c r="G28" s="10" t="s">
        <v>3645</v>
      </c>
      <c r="H28" s="7" t="s">
        <v>3471</v>
      </c>
      <c r="I28" s="7" t="s">
        <v>3548</v>
      </c>
      <c r="J28" s="7" t="s">
        <v>3358</v>
      </c>
      <c r="K28" s="7" t="s">
        <v>4105</v>
      </c>
      <c r="L28" s="11" t="str">
        <f>HYPERLINK("http://slimages.macys.com/is/image/MCY/13121058 ")</f>
        <v xml:space="preserve">http://slimages.macys.com/is/image/MCY/13121058 </v>
      </c>
    </row>
    <row r="29" spans="1:12" ht="39.950000000000003" customHeight="1" x14ac:dyDescent="0.25">
      <c r="A29" s="6" t="s">
        <v>2021</v>
      </c>
      <c r="B29" s="7" t="s">
        <v>2022</v>
      </c>
      <c r="C29" s="8">
        <v>1</v>
      </c>
      <c r="D29" s="9">
        <v>78.11</v>
      </c>
      <c r="E29" s="8">
        <v>17304</v>
      </c>
      <c r="F29" s="7"/>
      <c r="G29" s="10"/>
      <c r="H29" s="7" t="s">
        <v>3388</v>
      </c>
      <c r="I29" s="7" t="s">
        <v>3389</v>
      </c>
      <c r="J29" s="7" t="s">
        <v>3358</v>
      </c>
      <c r="K29" s="7" t="s">
        <v>3390</v>
      </c>
      <c r="L29" s="11" t="str">
        <f>HYPERLINK("http://slimages.macys.com/is/image/MCY/9850137 ")</f>
        <v xml:space="preserve">http://slimages.macys.com/is/image/MCY/9850137 </v>
      </c>
    </row>
    <row r="30" spans="1:12" ht="39.950000000000003" customHeight="1" x14ac:dyDescent="0.25">
      <c r="A30" s="6" t="s">
        <v>2023</v>
      </c>
      <c r="B30" s="7" t="s">
        <v>2024</v>
      </c>
      <c r="C30" s="8">
        <v>1</v>
      </c>
      <c r="D30" s="9">
        <v>49.99</v>
      </c>
      <c r="E30" s="8" t="s">
        <v>2025</v>
      </c>
      <c r="F30" s="7" t="s">
        <v>3477</v>
      </c>
      <c r="G30" s="10"/>
      <c r="H30" s="7" t="s">
        <v>3412</v>
      </c>
      <c r="I30" s="7" t="s">
        <v>3413</v>
      </c>
      <c r="J30" s="7" t="s">
        <v>3358</v>
      </c>
      <c r="K30" s="7" t="s">
        <v>3390</v>
      </c>
      <c r="L30" s="11" t="str">
        <f>HYPERLINK("http://slimages.macys.com/is/image/MCY/8347198 ")</f>
        <v xml:space="preserve">http://slimages.macys.com/is/image/MCY/8347198 </v>
      </c>
    </row>
    <row r="31" spans="1:12" ht="39.950000000000003" customHeight="1" x14ac:dyDescent="0.25">
      <c r="A31" s="6" t="s">
        <v>2026</v>
      </c>
      <c r="B31" s="7" t="s">
        <v>2027</v>
      </c>
      <c r="C31" s="8">
        <v>1</v>
      </c>
      <c r="D31" s="9">
        <v>49.99</v>
      </c>
      <c r="E31" s="8">
        <v>22243122</v>
      </c>
      <c r="F31" s="7" t="s">
        <v>3937</v>
      </c>
      <c r="G31" s="10"/>
      <c r="H31" s="7" t="s">
        <v>3412</v>
      </c>
      <c r="I31" s="7" t="s">
        <v>3413</v>
      </c>
      <c r="J31" s="7" t="s">
        <v>3358</v>
      </c>
      <c r="K31" s="7" t="s">
        <v>3390</v>
      </c>
      <c r="L31" s="11" t="str">
        <f>HYPERLINK("http://slimages.macys.com/is/image/MCY/16688665 ")</f>
        <v xml:space="preserve">http://slimages.macys.com/is/image/MCY/16688665 </v>
      </c>
    </row>
    <row r="32" spans="1:12" ht="39.950000000000003" customHeight="1" x14ac:dyDescent="0.25">
      <c r="A32" s="6" t="s">
        <v>2028</v>
      </c>
      <c r="B32" s="7" t="s">
        <v>2029</v>
      </c>
      <c r="C32" s="8">
        <v>1</v>
      </c>
      <c r="D32" s="9">
        <v>104.99</v>
      </c>
      <c r="E32" s="8">
        <v>122528</v>
      </c>
      <c r="F32" s="7" t="s">
        <v>3384</v>
      </c>
      <c r="G32" s="10"/>
      <c r="H32" s="7" t="s">
        <v>3422</v>
      </c>
      <c r="I32" s="7" t="s">
        <v>3423</v>
      </c>
      <c r="J32" s="7" t="s">
        <v>3358</v>
      </c>
      <c r="K32" s="7" t="s">
        <v>3484</v>
      </c>
      <c r="L32" s="11" t="str">
        <f>HYPERLINK("http://slimages.macys.com/is/image/MCY/13287076 ")</f>
        <v xml:space="preserve">http://slimages.macys.com/is/image/MCY/13287076 </v>
      </c>
    </row>
    <row r="33" spans="1:12" ht="39.950000000000003" customHeight="1" x14ac:dyDescent="0.25">
      <c r="A33" s="6" t="s">
        <v>2030</v>
      </c>
      <c r="B33" s="7" t="s">
        <v>2031</v>
      </c>
      <c r="C33" s="8">
        <v>1</v>
      </c>
      <c r="D33" s="9">
        <v>39.99</v>
      </c>
      <c r="E33" s="8">
        <v>208662</v>
      </c>
      <c r="F33" s="7" t="s">
        <v>4219</v>
      </c>
      <c r="G33" s="10"/>
      <c r="H33" s="7" t="s">
        <v>3397</v>
      </c>
      <c r="I33" s="7" t="s">
        <v>3398</v>
      </c>
      <c r="J33" s="7" t="s">
        <v>3358</v>
      </c>
      <c r="K33" s="7" t="s">
        <v>3582</v>
      </c>
      <c r="L33" s="11" t="str">
        <f>HYPERLINK("http://slimages.macys.com/is/image/MCY/14772782 ")</f>
        <v xml:space="preserve">http://slimages.macys.com/is/image/MCY/14772782 </v>
      </c>
    </row>
    <row r="34" spans="1:12" ht="39.950000000000003" customHeight="1" x14ac:dyDescent="0.25">
      <c r="A34" s="6" t="s">
        <v>2032</v>
      </c>
      <c r="B34" s="7" t="s">
        <v>2033</v>
      </c>
      <c r="C34" s="8">
        <v>1</v>
      </c>
      <c r="D34" s="9">
        <v>79.989999999999995</v>
      </c>
      <c r="E34" s="8" t="s">
        <v>2034</v>
      </c>
      <c r="F34" s="7" t="s">
        <v>3925</v>
      </c>
      <c r="G34" s="10"/>
      <c r="H34" s="7" t="s">
        <v>3365</v>
      </c>
      <c r="I34" s="7" t="s">
        <v>2522</v>
      </c>
      <c r="J34" s="7" t="s">
        <v>3358</v>
      </c>
      <c r="K34" s="7" t="s">
        <v>3582</v>
      </c>
      <c r="L34" s="11" t="str">
        <f>HYPERLINK("http://slimages.macys.com/is/image/MCY/14788491 ")</f>
        <v xml:space="preserve">http://slimages.macys.com/is/image/MCY/14788491 </v>
      </c>
    </row>
    <row r="35" spans="1:12" ht="39.950000000000003" customHeight="1" x14ac:dyDescent="0.25">
      <c r="A35" s="6" t="s">
        <v>1573</v>
      </c>
      <c r="B35" s="7" t="s">
        <v>1574</v>
      </c>
      <c r="C35" s="8">
        <v>1</v>
      </c>
      <c r="D35" s="9">
        <v>39.99</v>
      </c>
      <c r="E35" s="8">
        <v>130119</v>
      </c>
      <c r="F35" s="7" t="s">
        <v>3363</v>
      </c>
      <c r="G35" s="10" t="s">
        <v>3364</v>
      </c>
      <c r="H35" s="7" t="s">
        <v>3422</v>
      </c>
      <c r="I35" s="7" t="s">
        <v>3423</v>
      </c>
      <c r="J35" s="7" t="s">
        <v>3358</v>
      </c>
      <c r="K35" s="7" t="s">
        <v>4134</v>
      </c>
      <c r="L35" s="11" t="str">
        <f>HYPERLINK("http://slimages.macys.com/is/image/MCY/3895749 ")</f>
        <v xml:space="preserve">http://slimages.macys.com/is/image/MCY/3895749 </v>
      </c>
    </row>
    <row r="36" spans="1:12" ht="39.950000000000003" customHeight="1" x14ac:dyDescent="0.25">
      <c r="A36" s="6" t="s">
        <v>2035</v>
      </c>
      <c r="B36" s="7" t="s">
        <v>2036</v>
      </c>
      <c r="C36" s="8">
        <v>2</v>
      </c>
      <c r="D36" s="9">
        <v>79.98</v>
      </c>
      <c r="E36" s="8" t="s">
        <v>2037</v>
      </c>
      <c r="F36" s="7" t="s">
        <v>3802</v>
      </c>
      <c r="G36" s="10"/>
      <c r="H36" s="7" t="s">
        <v>4165</v>
      </c>
      <c r="I36" s="7" t="s">
        <v>4166</v>
      </c>
      <c r="J36" s="7" t="s">
        <v>3692</v>
      </c>
      <c r="K36" s="7" t="s">
        <v>4167</v>
      </c>
      <c r="L36" s="11" t="str">
        <f>HYPERLINK("http://slimages.macys.com/is/image/MCY/9898874 ")</f>
        <v xml:space="preserve">http://slimages.macys.com/is/image/MCY/9898874 </v>
      </c>
    </row>
    <row r="37" spans="1:12" ht="39.950000000000003" customHeight="1" x14ac:dyDescent="0.25">
      <c r="A37" s="6" t="s">
        <v>2038</v>
      </c>
      <c r="B37" s="7" t="s">
        <v>2039</v>
      </c>
      <c r="C37" s="8">
        <v>1</v>
      </c>
      <c r="D37" s="9">
        <v>59.99</v>
      </c>
      <c r="E37" s="8" t="s">
        <v>2040</v>
      </c>
      <c r="F37" s="7" t="s">
        <v>3363</v>
      </c>
      <c r="G37" s="10"/>
      <c r="H37" s="7" t="s">
        <v>3471</v>
      </c>
      <c r="I37" s="7" t="s">
        <v>3378</v>
      </c>
      <c r="J37" s="7"/>
      <c r="K37" s="7"/>
      <c r="L37" s="11" t="str">
        <f>HYPERLINK("http://slimages.macys.com/is/image/MCY/16080107 ")</f>
        <v xml:space="preserve">http://slimages.macys.com/is/image/MCY/16080107 </v>
      </c>
    </row>
    <row r="38" spans="1:12" ht="39.950000000000003" customHeight="1" x14ac:dyDescent="0.25">
      <c r="A38" s="6" t="s">
        <v>2041</v>
      </c>
      <c r="B38" s="7" t="s">
        <v>2042</v>
      </c>
      <c r="C38" s="8">
        <v>1</v>
      </c>
      <c r="D38" s="9">
        <v>31.99</v>
      </c>
      <c r="E38" s="8" t="s">
        <v>2043</v>
      </c>
      <c r="F38" s="7" t="s">
        <v>3498</v>
      </c>
      <c r="G38" s="10" t="s">
        <v>3947</v>
      </c>
      <c r="H38" s="7" t="s">
        <v>3492</v>
      </c>
      <c r="I38" s="7" t="s">
        <v>3436</v>
      </c>
      <c r="J38" s="7" t="s">
        <v>3358</v>
      </c>
      <c r="K38" s="7" t="s">
        <v>2044</v>
      </c>
      <c r="L38" s="11" t="str">
        <f>HYPERLINK("http://slimages.macys.com/is/image/MCY/9613989 ")</f>
        <v xml:space="preserve">http://slimages.macys.com/is/image/MCY/9613989 </v>
      </c>
    </row>
    <row r="39" spans="1:12" ht="39.950000000000003" customHeight="1" x14ac:dyDescent="0.25">
      <c r="A39" s="6" t="s">
        <v>2045</v>
      </c>
      <c r="B39" s="7" t="s">
        <v>2046</v>
      </c>
      <c r="C39" s="8">
        <v>1</v>
      </c>
      <c r="D39" s="9">
        <v>39.99</v>
      </c>
      <c r="E39" s="8">
        <v>130356</v>
      </c>
      <c r="F39" s="7" t="s">
        <v>3481</v>
      </c>
      <c r="G39" s="10"/>
      <c r="H39" s="7" t="s">
        <v>3422</v>
      </c>
      <c r="I39" s="7" t="s">
        <v>3423</v>
      </c>
      <c r="J39" s="7" t="s">
        <v>3358</v>
      </c>
      <c r="K39" s="7" t="s">
        <v>4134</v>
      </c>
      <c r="L39" s="11" t="str">
        <f>HYPERLINK("http://slimages.macys.com/is/image/MCY/3895749 ")</f>
        <v xml:space="preserve">http://slimages.macys.com/is/image/MCY/3895749 </v>
      </c>
    </row>
    <row r="40" spans="1:12" ht="39.950000000000003" customHeight="1" x14ac:dyDescent="0.25">
      <c r="A40" s="6" t="s">
        <v>2047</v>
      </c>
      <c r="B40" s="7" t="s">
        <v>2048</v>
      </c>
      <c r="C40" s="8">
        <v>1</v>
      </c>
      <c r="D40" s="9">
        <v>35.99</v>
      </c>
      <c r="E40" s="8" t="s">
        <v>2049</v>
      </c>
      <c r="F40" s="7" t="s">
        <v>3542</v>
      </c>
      <c r="G40" s="10" t="s">
        <v>4085</v>
      </c>
      <c r="H40" s="7" t="s">
        <v>3471</v>
      </c>
      <c r="I40" s="7" t="s">
        <v>3761</v>
      </c>
      <c r="J40" s="7" t="s">
        <v>3751</v>
      </c>
      <c r="K40" s="7"/>
      <c r="L40" s="11" t="str">
        <f>HYPERLINK("http://slimages.macys.com/is/image/MCY/9526176 ")</f>
        <v xml:space="preserve">http://slimages.macys.com/is/image/MCY/9526176 </v>
      </c>
    </row>
    <row r="41" spans="1:12" ht="39.950000000000003" customHeight="1" x14ac:dyDescent="0.25">
      <c r="A41" s="6" t="s">
        <v>2558</v>
      </c>
      <c r="B41" s="7" t="s">
        <v>2559</v>
      </c>
      <c r="C41" s="8">
        <v>1</v>
      </c>
      <c r="D41" s="9">
        <v>39.99</v>
      </c>
      <c r="E41" s="8">
        <v>100071332</v>
      </c>
      <c r="F41" s="7" t="s">
        <v>3363</v>
      </c>
      <c r="G41" s="10"/>
      <c r="H41" s="7" t="s">
        <v>3454</v>
      </c>
      <c r="I41" s="7" t="s">
        <v>3915</v>
      </c>
      <c r="J41" s="7" t="s">
        <v>3358</v>
      </c>
      <c r="K41" s="7" t="s">
        <v>4002</v>
      </c>
      <c r="L41" s="11" t="str">
        <f>HYPERLINK("http://slimages.macys.com/is/image/MCY/14337672 ")</f>
        <v xml:space="preserve">http://slimages.macys.com/is/image/MCY/14337672 </v>
      </c>
    </row>
    <row r="42" spans="1:12" ht="39.950000000000003" customHeight="1" x14ac:dyDescent="0.25">
      <c r="A42" s="6" t="s">
        <v>2050</v>
      </c>
      <c r="B42" s="7" t="s">
        <v>2051</v>
      </c>
      <c r="C42" s="8">
        <v>2</v>
      </c>
      <c r="D42" s="9">
        <v>59.98</v>
      </c>
      <c r="E42" s="8" t="s">
        <v>2052</v>
      </c>
      <c r="F42" s="7" t="s">
        <v>3921</v>
      </c>
      <c r="G42" s="10" t="s">
        <v>3532</v>
      </c>
      <c r="H42" s="7" t="s">
        <v>3482</v>
      </c>
      <c r="I42" s="7" t="s">
        <v>3618</v>
      </c>
      <c r="J42" s="7" t="s">
        <v>3358</v>
      </c>
      <c r="K42" s="7" t="s">
        <v>3521</v>
      </c>
      <c r="L42" s="11" t="str">
        <f>HYPERLINK("http://slimages.macys.com/is/image/MCY/13285480 ")</f>
        <v xml:space="preserve">http://slimages.macys.com/is/image/MCY/13285480 </v>
      </c>
    </row>
    <row r="43" spans="1:12" ht="39.950000000000003" customHeight="1" x14ac:dyDescent="0.25">
      <c r="A43" s="6" t="s">
        <v>2053</v>
      </c>
      <c r="B43" s="7" t="s">
        <v>2054</v>
      </c>
      <c r="C43" s="8">
        <v>1</v>
      </c>
      <c r="D43" s="9">
        <v>39.99</v>
      </c>
      <c r="E43" s="8" t="s">
        <v>2055</v>
      </c>
      <c r="F43" s="7" t="s">
        <v>3363</v>
      </c>
      <c r="G43" s="10" t="s">
        <v>3645</v>
      </c>
      <c r="H43" s="7" t="s">
        <v>3471</v>
      </c>
      <c r="I43" s="7" t="s">
        <v>3378</v>
      </c>
      <c r="J43" s="7" t="s">
        <v>3379</v>
      </c>
      <c r="K43" s="7"/>
      <c r="L43" s="11" t="str">
        <f>HYPERLINK("http://slimages.macys.com/is/image/MCY/12384987 ")</f>
        <v xml:space="preserve">http://slimages.macys.com/is/image/MCY/12384987 </v>
      </c>
    </row>
    <row r="44" spans="1:12" ht="39.950000000000003" customHeight="1" x14ac:dyDescent="0.25">
      <c r="A44" s="6" t="s">
        <v>2938</v>
      </c>
      <c r="B44" s="7" t="s">
        <v>2939</v>
      </c>
      <c r="C44" s="8">
        <v>1</v>
      </c>
      <c r="D44" s="9">
        <v>24.99</v>
      </c>
      <c r="E44" s="8" t="s">
        <v>2940</v>
      </c>
      <c r="F44" s="7" t="s">
        <v>3481</v>
      </c>
      <c r="G44" s="10"/>
      <c r="H44" s="7" t="s">
        <v>3356</v>
      </c>
      <c r="I44" s="7" t="s">
        <v>3651</v>
      </c>
      <c r="J44" s="7" t="s">
        <v>3358</v>
      </c>
      <c r="K44" s="7" t="s">
        <v>3390</v>
      </c>
      <c r="L44" s="11" t="str">
        <f>HYPERLINK("http://slimages.macys.com/is/image/MCY/2861128 ")</f>
        <v xml:space="preserve">http://slimages.macys.com/is/image/MCY/2861128 </v>
      </c>
    </row>
    <row r="45" spans="1:12" ht="39.950000000000003" customHeight="1" x14ac:dyDescent="0.25">
      <c r="A45" s="6" t="s">
        <v>2056</v>
      </c>
      <c r="B45" s="7" t="s">
        <v>2057</v>
      </c>
      <c r="C45" s="8">
        <v>1</v>
      </c>
      <c r="D45" s="9">
        <v>29.99</v>
      </c>
      <c r="E45" s="8">
        <v>100107101</v>
      </c>
      <c r="F45" s="7" t="s">
        <v>3650</v>
      </c>
      <c r="G45" s="10" t="s">
        <v>3453</v>
      </c>
      <c r="H45" s="7" t="s">
        <v>3454</v>
      </c>
      <c r="I45" s="7" t="s">
        <v>3455</v>
      </c>
      <c r="J45" s="7"/>
      <c r="K45" s="7"/>
      <c r="L45" s="11" t="str">
        <f>HYPERLINK("http://slimages.macys.com/is/image/MCY/17792913 ")</f>
        <v xml:space="preserve">http://slimages.macys.com/is/image/MCY/17792913 </v>
      </c>
    </row>
    <row r="46" spans="1:12" ht="39.950000000000003" customHeight="1" x14ac:dyDescent="0.25">
      <c r="A46" s="6" t="s">
        <v>2058</v>
      </c>
      <c r="B46" s="7" t="s">
        <v>2059</v>
      </c>
      <c r="C46" s="8">
        <v>1</v>
      </c>
      <c r="D46" s="9">
        <v>29.99</v>
      </c>
      <c r="E46" s="8" t="s">
        <v>2060</v>
      </c>
      <c r="F46" s="7" t="s">
        <v>3481</v>
      </c>
      <c r="G46" s="10"/>
      <c r="H46" s="7" t="s">
        <v>3412</v>
      </c>
      <c r="I46" s="7" t="s">
        <v>3467</v>
      </c>
      <c r="J46" s="7"/>
      <c r="K46" s="7"/>
      <c r="L46" s="11" t="str">
        <f>HYPERLINK("http://slimages.macys.com/is/image/MCY/17443728 ")</f>
        <v xml:space="preserve">http://slimages.macys.com/is/image/MCY/17443728 </v>
      </c>
    </row>
    <row r="47" spans="1:12" ht="39.950000000000003" customHeight="1" x14ac:dyDescent="0.25">
      <c r="A47" s="6" t="s">
        <v>2061</v>
      </c>
      <c r="B47" s="7" t="s">
        <v>2062</v>
      </c>
      <c r="C47" s="8">
        <v>1</v>
      </c>
      <c r="D47" s="9">
        <v>15.99</v>
      </c>
      <c r="E47" s="8">
        <v>47407</v>
      </c>
      <c r="F47" s="7" t="s">
        <v>3531</v>
      </c>
      <c r="G47" s="10"/>
      <c r="H47" s="7" t="s">
        <v>3492</v>
      </c>
      <c r="I47" s="7" t="s">
        <v>3636</v>
      </c>
      <c r="J47" s="7" t="s">
        <v>3358</v>
      </c>
      <c r="K47" s="7"/>
      <c r="L47" s="11" t="str">
        <f>HYPERLINK("http://slimages.macys.com/is/image/MCY/10006589 ")</f>
        <v xml:space="preserve">http://slimages.macys.com/is/image/MCY/10006589 </v>
      </c>
    </row>
    <row r="48" spans="1:12" ht="39.950000000000003" customHeight="1" x14ac:dyDescent="0.25">
      <c r="A48" s="6" t="s">
        <v>2063</v>
      </c>
      <c r="B48" s="7" t="s">
        <v>2064</v>
      </c>
      <c r="C48" s="8">
        <v>1</v>
      </c>
      <c r="D48" s="9">
        <v>14.99</v>
      </c>
      <c r="E48" s="8">
        <v>50972</v>
      </c>
      <c r="F48" s="7" t="s">
        <v>3525</v>
      </c>
      <c r="G48" s="10"/>
      <c r="H48" s="7" t="s">
        <v>3492</v>
      </c>
      <c r="I48" s="7" t="s">
        <v>3636</v>
      </c>
      <c r="J48" s="7" t="s">
        <v>3358</v>
      </c>
      <c r="K48" s="7"/>
      <c r="L48" s="11" t="str">
        <f>HYPERLINK("http://slimages.macys.com/is/image/MCY/8759720 ")</f>
        <v xml:space="preserve">http://slimages.macys.com/is/image/MCY/8759720 </v>
      </c>
    </row>
    <row r="49" spans="1:12" ht="39.950000000000003" customHeight="1" x14ac:dyDescent="0.25">
      <c r="A49" s="6" t="s">
        <v>2065</v>
      </c>
      <c r="B49" s="7" t="s">
        <v>2066</v>
      </c>
      <c r="C49" s="8">
        <v>2</v>
      </c>
      <c r="D49" s="9">
        <v>27.98</v>
      </c>
      <c r="E49" s="8">
        <v>25906</v>
      </c>
      <c r="F49" s="7" t="s">
        <v>3632</v>
      </c>
      <c r="G49" s="10"/>
      <c r="H49" s="7" t="s">
        <v>3492</v>
      </c>
      <c r="I49" s="7" t="s">
        <v>3636</v>
      </c>
      <c r="J49" s="7" t="s">
        <v>3358</v>
      </c>
      <c r="K49" s="7"/>
      <c r="L49" s="11" t="str">
        <f>HYPERLINK("http://slimages.macys.com/is/image/MCY/16270504 ")</f>
        <v xml:space="preserve">http://slimages.macys.com/is/image/MCY/16270504 </v>
      </c>
    </row>
    <row r="50" spans="1:12" ht="39.950000000000003" customHeight="1" x14ac:dyDescent="0.25">
      <c r="A50" s="6" t="s">
        <v>2067</v>
      </c>
      <c r="B50" s="7" t="s">
        <v>2068</v>
      </c>
      <c r="C50" s="8">
        <v>1</v>
      </c>
      <c r="D50" s="9">
        <v>14.99</v>
      </c>
      <c r="E50" s="8" t="s">
        <v>2069</v>
      </c>
      <c r="F50" s="7" t="s">
        <v>3735</v>
      </c>
      <c r="G50" s="10" t="s">
        <v>3893</v>
      </c>
      <c r="H50" s="7" t="s">
        <v>3492</v>
      </c>
      <c r="I50" s="7" t="s">
        <v>4212</v>
      </c>
      <c r="J50" s="7"/>
      <c r="K50" s="7"/>
      <c r="L50" s="11" t="str">
        <f>HYPERLINK("http://slimages.macys.com/is/image/MCY/17620637 ")</f>
        <v xml:space="preserve">http://slimages.macys.com/is/image/MCY/17620637 </v>
      </c>
    </row>
    <row r="51" spans="1:12" ht="39.950000000000003" customHeight="1" x14ac:dyDescent="0.25">
      <c r="A51" s="6" t="s">
        <v>2070</v>
      </c>
      <c r="B51" s="7" t="s">
        <v>2071</v>
      </c>
      <c r="C51" s="8">
        <v>1</v>
      </c>
      <c r="D51" s="9">
        <v>39.99</v>
      </c>
      <c r="E51" s="8" t="s">
        <v>2072</v>
      </c>
      <c r="F51" s="7" t="s">
        <v>3443</v>
      </c>
      <c r="G51" s="10"/>
      <c r="H51" s="7" t="s">
        <v>3658</v>
      </c>
      <c r="I51" s="7" t="s">
        <v>2690</v>
      </c>
      <c r="J51" s="7"/>
      <c r="K51" s="7"/>
      <c r="L51" s="11" t="str">
        <f>HYPERLINK("http://slimages.macys.com/is/image/MCY/18491886 ")</f>
        <v xml:space="preserve">http://slimages.macys.com/is/image/MCY/18491886 </v>
      </c>
    </row>
    <row r="52" spans="1:12" ht="39.950000000000003" customHeight="1" x14ac:dyDescent="0.25">
      <c r="A52" s="6" t="s">
        <v>2073</v>
      </c>
      <c r="B52" s="7" t="s">
        <v>2074</v>
      </c>
      <c r="C52" s="8">
        <v>1</v>
      </c>
      <c r="D52" s="9">
        <v>11.99</v>
      </c>
      <c r="E52" s="8">
        <v>51044</v>
      </c>
      <c r="F52" s="7" t="s">
        <v>3363</v>
      </c>
      <c r="G52" s="10" t="s">
        <v>3460</v>
      </c>
      <c r="H52" s="7" t="s">
        <v>3388</v>
      </c>
      <c r="I52" s="7" t="s">
        <v>3389</v>
      </c>
      <c r="J52" s="7"/>
      <c r="K52" s="7"/>
      <c r="L52" s="11" t="str">
        <f>HYPERLINK("http://slimages.macys.com/is/image/MCY/9391298 ")</f>
        <v xml:space="preserve">http://slimages.macys.com/is/image/MCY/9391298 </v>
      </c>
    </row>
    <row r="53" spans="1:12" ht="39.950000000000003" customHeight="1" x14ac:dyDescent="0.25">
      <c r="A53" s="6" t="s">
        <v>2075</v>
      </c>
      <c r="B53" s="7" t="s">
        <v>2076</v>
      </c>
      <c r="C53" s="8">
        <v>4</v>
      </c>
      <c r="D53" s="9">
        <v>39.96</v>
      </c>
      <c r="E53" s="8">
        <v>1010021300</v>
      </c>
      <c r="F53" s="7" t="s">
        <v>3481</v>
      </c>
      <c r="G53" s="10" t="s">
        <v>3774</v>
      </c>
      <c r="H53" s="7" t="s">
        <v>3482</v>
      </c>
      <c r="I53" s="7" t="s">
        <v>3659</v>
      </c>
      <c r="J53" s="7"/>
      <c r="K53" s="7"/>
      <c r="L53" s="11" t="str">
        <f>HYPERLINK("http://slimages.macys.com/is/image/MCY/18097873 ")</f>
        <v xml:space="preserve">http://slimages.macys.com/is/image/MCY/18097873 </v>
      </c>
    </row>
    <row r="54" spans="1:12" ht="39.950000000000003" customHeight="1" x14ac:dyDescent="0.25">
      <c r="A54" s="6" t="s">
        <v>3540</v>
      </c>
      <c r="B54" s="7" t="s">
        <v>3541</v>
      </c>
      <c r="C54" s="8">
        <v>3</v>
      </c>
      <c r="D54" s="9">
        <v>120</v>
      </c>
      <c r="E54" s="8"/>
      <c r="F54" s="7" t="s">
        <v>3542</v>
      </c>
      <c r="G54" s="10" t="s">
        <v>3504</v>
      </c>
      <c r="H54" s="7" t="s">
        <v>3543</v>
      </c>
      <c r="I54" s="7" t="s">
        <v>3544</v>
      </c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2077</v>
      </c>
      <c r="B2" s="7" t="s">
        <v>2078</v>
      </c>
      <c r="C2" s="8">
        <v>1</v>
      </c>
      <c r="D2" s="9">
        <v>360.99</v>
      </c>
      <c r="E2" s="8">
        <v>63824</v>
      </c>
      <c r="F2" s="7" t="s">
        <v>3363</v>
      </c>
      <c r="G2" s="10"/>
      <c r="H2" s="7" t="s">
        <v>3388</v>
      </c>
      <c r="I2" s="7" t="s">
        <v>3389</v>
      </c>
      <c r="J2" s="7" t="s">
        <v>3358</v>
      </c>
      <c r="K2" s="7" t="s">
        <v>2079</v>
      </c>
      <c r="L2" s="11" t="str">
        <f>HYPERLINK("http://slimages.macys.com/is/image/MCY/12081987 ")</f>
        <v xml:space="preserve">http://slimages.macys.com/is/image/MCY/12081987 </v>
      </c>
    </row>
    <row r="3" spans="1:12" ht="39.950000000000003" customHeight="1" x14ac:dyDescent="0.25">
      <c r="A3" s="6" t="s">
        <v>2080</v>
      </c>
      <c r="B3" s="7" t="s">
        <v>2616</v>
      </c>
      <c r="C3" s="8">
        <v>1</v>
      </c>
      <c r="D3" s="9">
        <v>199.99</v>
      </c>
      <c r="E3" s="8" t="s">
        <v>2081</v>
      </c>
      <c r="F3" s="7" t="s">
        <v>3363</v>
      </c>
      <c r="G3" s="10" t="s">
        <v>3645</v>
      </c>
      <c r="H3" s="7" t="s">
        <v>3471</v>
      </c>
      <c r="I3" s="7" t="s">
        <v>3548</v>
      </c>
      <c r="J3" s="7" t="s">
        <v>3358</v>
      </c>
      <c r="K3" s="7" t="s">
        <v>4041</v>
      </c>
      <c r="L3" s="11" t="str">
        <f>HYPERLINK("http://slimages.macys.com/is/image/MCY/3962581 ")</f>
        <v xml:space="preserve">http://slimages.macys.com/is/image/MCY/3962581 </v>
      </c>
    </row>
    <row r="4" spans="1:12" ht="39.950000000000003" customHeight="1" x14ac:dyDescent="0.25">
      <c r="A4" s="6" t="s">
        <v>2082</v>
      </c>
      <c r="B4" s="7" t="s">
        <v>2083</v>
      </c>
      <c r="C4" s="8">
        <v>1</v>
      </c>
      <c r="D4" s="9">
        <v>220.99</v>
      </c>
      <c r="E4" s="8" t="s">
        <v>2084</v>
      </c>
      <c r="F4" s="7" t="s">
        <v>3477</v>
      </c>
      <c r="G4" s="10"/>
      <c r="H4" s="7" t="s">
        <v>3492</v>
      </c>
      <c r="I4" s="7" t="s">
        <v>1450</v>
      </c>
      <c r="J4" s="7" t="s">
        <v>3358</v>
      </c>
      <c r="K4" s="7" t="s">
        <v>3582</v>
      </c>
      <c r="L4" s="11" t="str">
        <f>HYPERLINK("http://slimages.macys.com/is/image/MCY/11630414 ")</f>
        <v xml:space="preserve">http://slimages.macys.com/is/image/MCY/11630414 </v>
      </c>
    </row>
    <row r="5" spans="1:12" ht="39.950000000000003" customHeight="1" x14ac:dyDescent="0.25">
      <c r="A5" s="6" t="s">
        <v>4239</v>
      </c>
      <c r="B5" s="7" t="s">
        <v>4240</v>
      </c>
      <c r="C5" s="8">
        <v>1</v>
      </c>
      <c r="D5" s="9">
        <v>179.99</v>
      </c>
      <c r="E5" s="8" t="s">
        <v>4241</v>
      </c>
      <c r="F5" s="7" t="s">
        <v>3937</v>
      </c>
      <c r="G5" s="10"/>
      <c r="H5" s="7" t="s">
        <v>3412</v>
      </c>
      <c r="I5" s="7" t="s">
        <v>4242</v>
      </c>
      <c r="J5" s="7"/>
      <c r="K5" s="7"/>
      <c r="L5" s="11" t="str">
        <f>HYPERLINK("http://slimages.macys.com/is/image/MCY/17857771 ")</f>
        <v xml:space="preserve">http://slimages.macys.com/is/image/MCY/17857771 </v>
      </c>
    </row>
    <row r="6" spans="1:12" ht="39.950000000000003" customHeight="1" x14ac:dyDescent="0.25">
      <c r="A6" s="6" t="s">
        <v>2085</v>
      </c>
      <c r="B6" s="7" t="s">
        <v>2086</v>
      </c>
      <c r="C6" s="8">
        <v>1</v>
      </c>
      <c r="D6" s="9">
        <v>169.99</v>
      </c>
      <c r="E6" s="8" t="s">
        <v>2087</v>
      </c>
      <c r="F6" s="7" t="s">
        <v>3363</v>
      </c>
      <c r="G6" s="10"/>
      <c r="H6" s="7" t="s">
        <v>3471</v>
      </c>
      <c r="I6" s="7" t="s">
        <v>3548</v>
      </c>
      <c r="J6" s="7"/>
      <c r="K6" s="7"/>
      <c r="L6" s="11" t="str">
        <f>HYPERLINK("http://slimages.macys.com/is/image/MCY/17576412 ")</f>
        <v xml:space="preserve">http://slimages.macys.com/is/image/MCY/17576412 </v>
      </c>
    </row>
    <row r="7" spans="1:12" ht="39.950000000000003" customHeight="1" x14ac:dyDescent="0.25">
      <c r="A7" s="6" t="s">
        <v>2088</v>
      </c>
      <c r="B7" s="7" t="s">
        <v>2089</v>
      </c>
      <c r="C7" s="8">
        <v>1</v>
      </c>
      <c r="D7" s="9">
        <v>169.99</v>
      </c>
      <c r="E7" s="8" t="s">
        <v>2090</v>
      </c>
      <c r="F7" s="7" t="s">
        <v>3363</v>
      </c>
      <c r="G7" s="10"/>
      <c r="H7" s="7" t="s">
        <v>3471</v>
      </c>
      <c r="I7" s="7" t="s">
        <v>3548</v>
      </c>
      <c r="J7" s="7" t="s">
        <v>3358</v>
      </c>
      <c r="K7" s="7" t="s">
        <v>4041</v>
      </c>
      <c r="L7" s="11" t="str">
        <f>HYPERLINK("http://slimages.macys.com/is/image/MCY/3962581 ")</f>
        <v xml:space="preserve">http://slimages.macys.com/is/image/MCY/3962581 </v>
      </c>
    </row>
    <row r="8" spans="1:12" ht="39.950000000000003" customHeight="1" x14ac:dyDescent="0.25">
      <c r="A8" s="6" t="s">
        <v>2091</v>
      </c>
      <c r="B8" s="7" t="s">
        <v>2092</v>
      </c>
      <c r="C8" s="8">
        <v>1</v>
      </c>
      <c r="D8" s="9">
        <v>179.99</v>
      </c>
      <c r="E8" s="8" t="s">
        <v>2093</v>
      </c>
      <c r="F8" s="7" t="s">
        <v>3363</v>
      </c>
      <c r="G8" s="10" t="s">
        <v>3364</v>
      </c>
      <c r="H8" s="7" t="s">
        <v>3658</v>
      </c>
      <c r="I8" s="7" t="s">
        <v>2657</v>
      </c>
      <c r="J8" s="7" t="s">
        <v>3358</v>
      </c>
      <c r="K8" s="7" t="s">
        <v>2094</v>
      </c>
      <c r="L8" s="11" t="str">
        <f>HYPERLINK("http://slimages.macys.com/is/image/MCY/12072133 ")</f>
        <v xml:space="preserve">http://slimages.macys.com/is/image/MCY/12072133 </v>
      </c>
    </row>
    <row r="9" spans="1:12" ht="39.950000000000003" customHeight="1" x14ac:dyDescent="0.25">
      <c r="A9" s="6" t="s">
        <v>2095</v>
      </c>
      <c r="B9" s="7" t="s">
        <v>2096</v>
      </c>
      <c r="C9" s="8">
        <v>1</v>
      </c>
      <c r="D9" s="9">
        <v>129.99</v>
      </c>
      <c r="E9" s="8" t="s">
        <v>2097</v>
      </c>
      <c r="F9" s="7" t="s">
        <v>3531</v>
      </c>
      <c r="G9" s="10"/>
      <c r="H9" s="7" t="s">
        <v>3356</v>
      </c>
      <c r="I9" s="7" t="s">
        <v>2876</v>
      </c>
      <c r="J9" s="7" t="s">
        <v>3358</v>
      </c>
      <c r="K9" s="7"/>
      <c r="L9" s="11" t="str">
        <f>HYPERLINK("http://slimages.macys.com/is/image/MCY/8931818 ")</f>
        <v xml:space="preserve">http://slimages.macys.com/is/image/MCY/8931818 </v>
      </c>
    </row>
    <row r="10" spans="1:12" ht="39.950000000000003" customHeight="1" x14ac:dyDescent="0.25">
      <c r="A10" s="6" t="s">
        <v>1783</v>
      </c>
      <c r="B10" s="7" t="s">
        <v>1784</v>
      </c>
      <c r="C10" s="8">
        <v>1</v>
      </c>
      <c r="D10" s="9">
        <v>149.99</v>
      </c>
      <c r="E10" s="8" t="s">
        <v>2823</v>
      </c>
      <c r="F10" s="7" t="s">
        <v>3921</v>
      </c>
      <c r="G10" s="10"/>
      <c r="H10" s="7" t="s">
        <v>3408</v>
      </c>
      <c r="I10" s="7" t="s">
        <v>3409</v>
      </c>
      <c r="J10" s="7"/>
      <c r="K10" s="7"/>
      <c r="L10" s="11" t="str">
        <f>HYPERLINK("http://slimages.macys.com/is/image/MCY/17773249 ")</f>
        <v xml:space="preserve">http://slimages.macys.com/is/image/MCY/17773249 </v>
      </c>
    </row>
    <row r="11" spans="1:12" ht="39.950000000000003" customHeight="1" x14ac:dyDescent="0.25">
      <c r="A11" s="6" t="s">
        <v>2098</v>
      </c>
      <c r="B11" s="7" t="s">
        <v>2099</v>
      </c>
      <c r="C11" s="8">
        <v>1</v>
      </c>
      <c r="D11" s="9">
        <v>79.989999999999995</v>
      </c>
      <c r="E11" s="8" t="s">
        <v>2100</v>
      </c>
      <c r="F11" s="7" t="s">
        <v>3553</v>
      </c>
      <c r="G11" s="10"/>
      <c r="H11" s="7" t="s">
        <v>3397</v>
      </c>
      <c r="I11" s="7" t="s">
        <v>2101</v>
      </c>
      <c r="J11" s="7" t="s">
        <v>3358</v>
      </c>
      <c r="K11" s="7" t="s">
        <v>3586</v>
      </c>
      <c r="L11" s="11" t="str">
        <f>HYPERLINK("http://slimages.macys.com/is/image/MCY/15008360 ")</f>
        <v xml:space="preserve">http://slimages.macys.com/is/image/MCY/15008360 </v>
      </c>
    </row>
    <row r="12" spans="1:12" ht="39.950000000000003" customHeight="1" x14ac:dyDescent="0.25">
      <c r="A12" s="6" t="s">
        <v>2102</v>
      </c>
      <c r="B12" s="7" t="s">
        <v>2103</v>
      </c>
      <c r="C12" s="8">
        <v>1</v>
      </c>
      <c r="D12" s="9">
        <v>99.99</v>
      </c>
      <c r="E12" s="8" t="s">
        <v>2104</v>
      </c>
      <c r="F12" s="7" t="s">
        <v>3363</v>
      </c>
      <c r="G12" s="10"/>
      <c r="H12" s="7" t="s">
        <v>3388</v>
      </c>
      <c r="I12" s="7" t="s">
        <v>2602</v>
      </c>
      <c r="J12" s="7" t="s">
        <v>3358</v>
      </c>
      <c r="K12" s="7" t="s">
        <v>4011</v>
      </c>
      <c r="L12" s="11" t="str">
        <f>HYPERLINK("http://slimages.macys.com/is/image/MCY/13767730 ")</f>
        <v xml:space="preserve">http://slimages.macys.com/is/image/MCY/13767730 </v>
      </c>
    </row>
    <row r="13" spans="1:12" ht="39.950000000000003" customHeight="1" x14ac:dyDescent="0.25">
      <c r="A13" s="6" t="s">
        <v>2105</v>
      </c>
      <c r="B13" s="7" t="s">
        <v>2106</v>
      </c>
      <c r="C13" s="8">
        <v>1</v>
      </c>
      <c r="D13" s="9">
        <v>99.99</v>
      </c>
      <c r="E13" s="8" t="s">
        <v>2107</v>
      </c>
      <c r="F13" s="7" t="s">
        <v>3553</v>
      </c>
      <c r="G13" s="10"/>
      <c r="H13" s="7" t="s">
        <v>3601</v>
      </c>
      <c r="I13" s="7" t="s">
        <v>3602</v>
      </c>
      <c r="J13" s="7" t="s">
        <v>3358</v>
      </c>
      <c r="K13" s="7" t="s">
        <v>4282</v>
      </c>
      <c r="L13" s="11" t="str">
        <f>HYPERLINK("http://slimages.macys.com/is/image/MCY/11607139 ")</f>
        <v xml:space="preserve">http://slimages.macys.com/is/image/MCY/11607139 </v>
      </c>
    </row>
    <row r="14" spans="1:12" ht="39.950000000000003" customHeight="1" x14ac:dyDescent="0.25">
      <c r="A14" s="6" t="s">
        <v>2108</v>
      </c>
      <c r="B14" s="7" t="s">
        <v>2109</v>
      </c>
      <c r="C14" s="8">
        <v>1</v>
      </c>
      <c r="D14" s="9">
        <v>69.989999999999995</v>
      </c>
      <c r="E14" s="8" t="s">
        <v>2110</v>
      </c>
      <c r="F14" s="7" t="s">
        <v>3503</v>
      </c>
      <c r="G14" s="10"/>
      <c r="H14" s="7" t="s">
        <v>3526</v>
      </c>
      <c r="I14" s="7" t="s">
        <v>3900</v>
      </c>
      <c r="J14" s="7" t="s">
        <v>3358</v>
      </c>
      <c r="K14" s="7" t="s">
        <v>3901</v>
      </c>
      <c r="L14" s="11" t="str">
        <f>HYPERLINK("http://slimages.macys.com/is/image/MCY/12901519 ")</f>
        <v xml:space="preserve">http://slimages.macys.com/is/image/MCY/12901519 </v>
      </c>
    </row>
    <row r="15" spans="1:12" ht="39.950000000000003" customHeight="1" x14ac:dyDescent="0.25">
      <c r="A15" s="6" t="s">
        <v>2111</v>
      </c>
      <c r="B15" s="7" t="s">
        <v>2112</v>
      </c>
      <c r="C15" s="8">
        <v>1</v>
      </c>
      <c r="D15" s="9">
        <v>109.99</v>
      </c>
      <c r="E15" s="8" t="s">
        <v>2113</v>
      </c>
      <c r="F15" s="7" t="s">
        <v>3673</v>
      </c>
      <c r="G15" s="10"/>
      <c r="H15" s="7" t="s">
        <v>3356</v>
      </c>
      <c r="I15" s="7" t="s">
        <v>2114</v>
      </c>
      <c r="J15" s="7" t="s">
        <v>3358</v>
      </c>
      <c r="K15" s="7" t="s">
        <v>2430</v>
      </c>
      <c r="L15" s="11" t="str">
        <f>HYPERLINK("http://slimages.macys.com/is/image/MCY/15144360 ")</f>
        <v xml:space="preserve">http://slimages.macys.com/is/image/MCY/15144360 </v>
      </c>
    </row>
    <row r="16" spans="1:12" ht="39.950000000000003" customHeight="1" x14ac:dyDescent="0.25">
      <c r="A16" s="6" t="s">
        <v>2115</v>
      </c>
      <c r="B16" s="7" t="s">
        <v>2116</v>
      </c>
      <c r="C16" s="8">
        <v>1</v>
      </c>
      <c r="D16" s="9">
        <v>88.99</v>
      </c>
      <c r="E16" s="8" t="s">
        <v>2117</v>
      </c>
      <c r="F16" s="7" t="s">
        <v>3384</v>
      </c>
      <c r="G16" s="10"/>
      <c r="H16" s="7" t="s">
        <v>3412</v>
      </c>
      <c r="I16" s="7" t="s">
        <v>3510</v>
      </c>
      <c r="J16" s="7" t="s">
        <v>3358</v>
      </c>
      <c r="K16" s="7" t="s">
        <v>3582</v>
      </c>
      <c r="L16" s="11" t="str">
        <f>HYPERLINK("http://slimages.macys.com/is/image/MCY/16510286 ")</f>
        <v xml:space="preserve">http://slimages.macys.com/is/image/MCY/16510286 </v>
      </c>
    </row>
    <row r="17" spans="1:12" ht="39.950000000000003" customHeight="1" x14ac:dyDescent="0.25">
      <c r="A17" s="6" t="s">
        <v>2118</v>
      </c>
      <c r="B17" s="7" t="s">
        <v>2119</v>
      </c>
      <c r="C17" s="8">
        <v>1</v>
      </c>
      <c r="D17" s="9">
        <v>89.99</v>
      </c>
      <c r="E17" s="8">
        <v>10004467800</v>
      </c>
      <c r="F17" s="7" t="s">
        <v>3600</v>
      </c>
      <c r="G17" s="10"/>
      <c r="H17" s="7" t="s">
        <v>3365</v>
      </c>
      <c r="I17" s="7" t="s">
        <v>3554</v>
      </c>
      <c r="J17" s="7" t="s">
        <v>3358</v>
      </c>
      <c r="K17" s="7"/>
      <c r="L17" s="11" t="str">
        <f>HYPERLINK("http://slimages.macys.com/is/image/MCY/10467369 ")</f>
        <v xml:space="preserve">http://slimages.macys.com/is/image/MCY/10467369 </v>
      </c>
    </row>
    <row r="18" spans="1:12" ht="39.950000000000003" customHeight="1" x14ac:dyDescent="0.25">
      <c r="A18" s="6" t="s">
        <v>2120</v>
      </c>
      <c r="B18" s="7" t="s">
        <v>2121</v>
      </c>
      <c r="C18" s="8">
        <v>1</v>
      </c>
      <c r="D18" s="9">
        <v>64.989999999999995</v>
      </c>
      <c r="E18" s="8" t="s">
        <v>2122</v>
      </c>
      <c r="F18" s="7" t="s">
        <v>3617</v>
      </c>
      <c r="G18" s="10"/>
      <c r="H18" s="7" t="s">
        <v>3422</v>
      </c>
      <c r="I18" s="7" t="s">
        <v>3664</v>
      </c>
      <c r="J18" s="7" t="s">
        <v>3358</v>
      </c>
      <c r="K18" s="7" t="s">
        <v>2489</v>
      </c>
      <c r="L18" s="11" t="str">
        <f>HYPERLINK("http://slimages.macys.com/is/image/MCY/11799212 ")</f>
        <v xml:space="preserve">http://slimages.macys.com/is/image/MCY/11799212 </v>
      </c>
    </row>
    <row r="19" spans="1:12" ht="39.950000000000003" customHeight="1" x14ac:dyDescent="0.25">
      <c r="A19" s="6" t="s">
        <v>2123</v>
      </c>
      <c r="B19" s="7" t="s">
        <v>2124</v>
      </c>
      <c r="C19" s="8">
        <v>1</v>
      </c>
      <c r="D19" s="9">
        <v>49.99</v>
      </c>
      <c r="E19" s="8" t="s">
        <v>2125</v>
      </c>
      <c r="F19" s="7" t="s">
        <v>3802</v>
      </c>
      <c r="G19" s="10"/>
      <c r="H19" s="7" t="s">
        <v>3492</v>
      </c>
      <c r="I19" s="7" t="s">
        <v>3436</v>
      </c>
      <c r="J19" s="7" t="s">
        <v>3358</v>
      </c>
      <c r="K19" s="7"/>
      <c r="L19" s="11" t="str">
        <f>HYPERLINK("http://slimages.macys.com/is/image/MCY/8958381 ")</f>
        <v xml:space="preserve">http://slimages.macys.com/is/image/MCY/8958381 </v>
      </c>
    </row>
    <row r="20" spans="1:12" ht="39.950000000000003" customHeight="1" x14ac:dyDescent="0.25">
      <c r="A20" s="6" t="s">
        <v>2126</v>
      </c>
      <c r="B20" s="7" t="s">
        <v>2127</v>
      </c>
      <c r="C20" s="8">
        <v>1</v>
      </c>
      <c r="D20" s="9">
        <v>49.99</v>
      </c>
      <c r="E20" s="8" t="s">
        <v>2128</v>
      </c>
      <c r="F20" s="7" t="s">
        <v>3925</v>
      </c>
      <c r="G20" s="10"/>
      <c r="H20" s="7" t="s">
        <v>3492</v>
      </c>
      <c r="I20" s="7" t="s">
        <v>2129</v>
      </c>
      <c r="J20" s="7"/>
      <c r="K20" s="7"/>
      <c r="L20" s="11" t="str">
        <f>HYPERLINK("http://slimages.macys.com/is/image/MCY/17224497 ")</f>
        <v xml:space="preserve">http://slimages.macys.com/is/image/MCY/17224497 </v>
      </c>
    </row>
    <row r="21" spans="1:12" ht="39.950000000000003" customHeight="1" x14ac:dyDescent="0.25">
      <c r="A21" s="6" t="s">
        <v>2130</v>
      </c>
      <c r="B21" s="7" t="s">
        <v>2131</v>
      </c>
      <c r="C21" s="8">
        <v>1</v>
      </c>
      <c r="D21" s="9">
        <v>99.99</v>
      </c>
      <c r="E21" s="8" t="s">
        <v>2132</v>
      </c>
      <c r="F21" s="7" t="s">
        <v>3384</v>
      </c>
      <c r="G21" s="10"/>
      <c r="H21" s="7" t="s">
        <v>3658</v>
      </c>
      <c r="I21" s="7" t="s">
        <v>3659</v>
      </c>
      <c r="J21" s="7"/>
      <c r="K21" s="7"/>
      <c r="L21" s="11" t="str">
        <f>HYPERLINK("http://slimages.macys.com/is/image/MCY/18266992 ")</f>
        <v xml:space="preserve">http://slimages.macys.com/is/image/MCY/18266992 </v>
      </c>
    </row>
    <row r="22" spans="1:12" ht="39.950000000000003" customHeight="1" x14ac:dyDescent="0.25">
      <c r="A22" s="6" t="s">
        <v>2133</v>
      </c>
      <c r="B22" s="7" t="s">
        <v>2134</v>
      </c>
      <c r="C22" s="8">
        <v>1</v>
      </c>
      <c r="D22" s="9">
        <v>59.99</v>
      </c>
      <c r="E22" s="8">
        <v>70081</v>
      </c>
      <c r="F22" s="7" t="s">
        <v>3363</v>
      </c>
      <c r="G22" s="10"/>
      <c r="H22" s="7" t="s">
        <v>3388</v>
      </c>
      <c r="I22" s="7" t="s">
        <v>3389</v>
      </c>
      <c r="J22" s="7" t="s">
        <v>3358</v>
      </c>
      <c r="K22" s="7" t="s">
        <v>4062</v>
      </c>
      <c r="L22" s="11" t="str">
        <f>HYPERLINK("http://slimages.macys.com/is/image/MCY/11443707 ")</f>
        <v xml:space="preserve">http://slimages.macys.com/is/image/MCY/11443707 </v>
      </c>
    </row>
    <row r="23" spans="1:12" ht="39.950000000000003" customHeight="1" x14ac:dyDescent="0.25">
      <c r="A23" s="6" t="s">
        <v>2135</v>
      </c>
      <c r="B23" s="7" t="s">
        <v>2136</v>
      </c>
      <c r="C23" s="8">
        <v>1</v>
      </c>
      <c r="D23" s="9">
        <v>41.99</v>
      </c>
      <c r="E23" s="8" t="s">
        <v>2137</v>
      </c>
      <c r="F23" s="7" t="s">
        <v>3673</v>
      </c>
      <c r="G23" s="10"/>
      <c r="H23" s="7" t="s">
        <v>3526</v>
      </c>
      <c r="I23" s="7" t="s">
        <v>4010</v>
      </c>
      <c r="J23" s="7" t="s">
        <v>3358</v>
      </c>
      <c r="K23" s="7" t="s">
        <v>2138</v>
      </c>
      <c r="L23" s="11" t="str">
        <f>HYPERLINK("http://slimages.macys.com/is/image/MCY/10436504 ")</f>
        <v xml:space="preserve">http://slimages.macys.com/is/image/MCY/10436504 </v>
      </c>
    </row>
    <row r="24" spans="1:12" ht="39.950000000000003" customHeight="1" x14ac:dyDescent="0.25">
      <c r="A24" s="6" t="s">
        <v>2139</v>
      </c>
      <c r="B24" s="7" t="s">
        <v>2140</v>
      </c>
      <c r="C24" s="8">
        <v>1</v>
      </c>
      <c r="D24" s="9">
        <v>41.99</v>
      </c>
      <c r="E24" s="8" t="s">
        <v>2141</v>
      </c>
      <c r="F24" s="7" t="s">
        <v>3600</v>
      </c>
      <c r="G24" s="10"/>
      <c r="H24" s="7" t="s">
        <v>3526</v>
      </c>
      <c r="I24" s="7" t="s">
        <v>4010</v>
      </c>
      <c r="J24" s="7" t="s">
        <v>3358</v>
      </c>
      <c r="K24" s="7" t="s">
        <v>2138</v>
      </c>
      <c r="L24" s="11" t="str">
        <f>HYPERLINK("http://slimages.macys.com/is/image/MCY/10436504 ")</f>
        <v xml:space="preserve">http://slimages.macys.com/is/image/MCY/10436504 </v>
      </c>
    </row>
    <row r="25" spans="1:12" ht="39.950000000000003" customHeight="1" x14ac:dyDescent="0.25">
      <c r="A25" s="6" t="s">
        <v>2142</v>
      </c>
      <c r="B25" s="7" t="s">
        <v>2143</v>
      </c>
      <c r="C25" s="8">
        <v>1</v>
      </c>
      <c r="D25" s="9">
        <v>34.99</v>
      </c>
      <c r="E25" s="8" t="s">
        <v>2144</v>
      </c>
      <c r="F25" s="7" t="s">
        <v>3363</v>
      </c>
      <c r="G25" s="10"/>
      <c r="H25" s="7" t="s">
        <v>3418</v>
      </c>
      <c r="I25" s="7" t="s">
        <v>4224</v>
      </c>
      <c r="J25" s="7" t="s">
        <v>3358</v>
      </c>
      <c r="K25" s="7" t="s">
        <v>3582</v>
      </c>
      <c r="L25" s="11" t="str">
        <f>HYPERLINK("http://slimages.macys.com/is/image/MCY/9976650 ")</f>
        <v xml:space="preserve">http://slimages.macys.com/is/image/MCY/9976650 </v>
      </c>
    </row>
    <row r="26" spans="1:12" ht="39.950000000000003" customHeight="1" x14ac:dyDescent="0.25">
      <c r="A26" s="6" t="s">
        <v>2145</v>
      </c>
      <c r="B26" s="7" t="s">
        <v>2146</v>
      </c>
      <c r="C26" s="8">
        <v>1</v>
      </c>
      <c r="D26" s="9">
        <v>37.99</v>
      </c>
      <c r="E26" s="8" t="s">
        <v>2147</v>
      </c>
      <c r="F26" s="7" t="s">
        <v>3498</v>
      </c>
      <c r="G26" s="10"/>
      <c r="H26" s="7" t="s">
        <v>3526</v>
      </c>
      <c r="I26" s="7" t="s">
        <v>4010</v>
      </c>
      <c r="J26" s="7" t="s">
        <v>3358</v>
      </c>
      <c r="K26" s="7" t="s">
        <v>4011</v>
      </c>
      <c r="L26" s="11" t="str">
        <f>HYPERLINK("http://slimages.macys.com/is/image/MCY/10681835 ")</f>
        <v xml:space="preserve">http://slimages.macys.com/is/image/MCY/10681835 </v>
      </c>
    </row>
    <row r="27" spans="1:12" ht="39.950000000000003" customHeight="1" x14ac:dyDescent="0.25">
      <c r="A27" s="6" t="s">
        <v>2148</v>
      </c>
      <c r="B27" s="7" t="s">
        <v>2149</v>
      </c>
      <c r="C27" s="8">
        <v>1</v>
      </c>
      <c r="D27" s="9">
        <v>37.99</v>
      </c>
      <c r="E27" s="8" t="s">
        <v>2150</v>
      </c>
      <c r="F27" s="7" t="s">
        <v>3384</v>
      </c>
      <c r="G27" s="10"/>
      <c r="H27" s="7" t="s">
        <v>3526</v>
      </c>
      <c r="I27" s="7" t="s">
        <v>4010</v>
      </c>
      <c r="J27" s="7" t="s">
        <v>3358</v>
      </c>
      <c r="K27" s="7" t="s">
        <v>4011</v>
      </c>
      <c r="L27" s="11" t="str">
        <f>HYPERLINK("http://slimages.macys.com/is/image/MCY/10721603 ")</f>
        <v xml:space="preserve">http://slimages.macys.com/is/image/MCY/10721603 </v>
      </c>
    </row>
    <row r="28" spans="1:12" ht="39.950000000000003" customHeight="1" x14ac:dyDescent="0.25">
      <c r="A28" s="6" t="s">
        <v>2151</v>
      </c>
      <c r="B28" s="7" t="s">
        <v>2152</v>
      </c>
      <c r="C28" s="8">
        <v>1</v>
      </c>
      <c r="D28" s="9">
        <v>37.99</v>
      </c>
      <c r="E28" s="8" t="s">
        <v>2153</v>
      </c>
      <c r="F28" s="7" t="s">
        <v>3781</v>
      </c>
      <c r="G28" s="10"/>
      <c r="H28" s="7" t="s">
        <v>3526</v>
      </c>
      <c r="I28" s="7" t="s">
        <v>4010</v>
      </c>
      <c r="J28" s="7" t="s">
        <v>3358</v>
      </c>
      <c r="K28" s="7" t="s">
        <v>4011</v>
      </c>
      <c r="L28" s="11" t="str">
        <f>HYPERLINK("http://slimages.macys.com/is/image/MCY/10721603 ")</f>
        <v xml:space="preserve">http://slimages.macys.com/is/image/MCY/10721603 </v>
      </c>
    </row>
    <row r="29" spans="1:12" ht="39.950000000000003" customHeight="1" x14ac:dyDescent="0.25">
      <c r="A29" s="6" t="s">
        <v>2154</v>
      </c>
      <c r="B29" s="7" t="s">
        <v>2155</v>
      </c>
      <c r="C29" s="8">
        <v>1</v>
      </c>
      <c r="D29" s="9">
        <v>35.99</v>
      </c>
      <c r="E29" s="8" t="s">
        <v>2156</v>
      </c>
      <c r="F29" s="7" t="s">
        <v>3525</v>
      </c>
      <c r="G29" s="10"/>
      <c r="H29" s="7" t="s">
        <v>3526</v>
      </c>
      <c r="I29" s="7" t="s">
        <v>4010</v>
      </c>
      <c r="J29" s="7" t="s">
        <v>3358</v>
      </c>
      <c r="K29" s="7" t="s">
        <v>4011</v>
      </c>
      <c r="L29" s="11" t="str">
        <f>HYPERLINK("http://slimages.macys.com/is/image/MCY/10721543 ")</f>
        <v xml:space="preserve">http://slimages.macys.com/is/image/MCY/10721543 </v>
      </c>
    </row>
    <row r="30" spans="1:12" ht="39.950000000000003" customHeight="1" x14ac:dyDescent="0.25">
      <c r="A30" s="6" t="s">
        <v>2157</v>
      </c>
      <c r="B30" s="7" t="s">
        <v>2158</v>
      </c>
      <c r="C30" s="8">
        <v>1</v>
      </c>
      <c r="D30" s="9">
        <v>35.99</v>
      </c>
      <c r="E30" s="8" t="s">
        <v>2159</v>
      </c>
      <c r="F30" s="7" t="s">
        <v>3937</v>
      </c>
      <c r="G30" s="10"/>
      <c r="H30" s="7" t="s">
        <v>3526</v>
      </c>
      <c r="I30" s="7" t="s">
        <v>3900</v>
      </c>
      <c r="J30" s="7"/>
      <c r="K30" s="7"/>
      <c r="L30" s="11" t="str">
        <f>HYPERLINK("http://slimages.macys.com/is/image/MCY/11800295 ")</f>
        <v xml:space="preserve">http://slimages.macys.com/is/image/MCY/11800295 </v>
      </c>
    </row>
    <row r="31" spans="1:12" ht="39.950000000000003" customHeight="1" x14ac:dyDescent="0.25">
      <c r="A31" s="6" t="s">
        <v>2160</v>
      </c>
      <c r="B31" s="7" t="s">
        <v>2161</v>
      </c>
      <c r="C31" s="8">
        <v>1</v>
      </c>
      <c r="D31" s="9">
        <v>30.99</v>
      </c>
      <c r="E31" s="8" t="s">
        <v>2162</v>
      </c>
      <c r="F31" s="7" t="s">
        <v>3525</v>
      </c>
      <c r="G31" s="10"/>
      <c r="H31" s="7" t="s">
        <v>3526</v>
      </c>
      <c r="I31" s="7" t="s">
        <v>4010</v>
      </c>
      <c r="J31" s="7" t="s">
        <v>3358</v>
      </c>
      <c r="K31" s="7" t="s">
        <v>4011</v>
      </c>
      <c r="L31" s="11" t="str">
        <f>HYPERLINK("http://slimages.macys.com/is/image/MCY/10721469 ")</f>
        <v xml:space="preserve">http://slimages.macys.com/is/image/MCY/10721469 </v>
      </c>
    </row>
    <row r="32" spans="1:12" ht="39.950000000000003" customHeight="1" x14ac:dyDescent="0.25">
      <c r="A32" s="6" t="s">
        <v>2163</v>
      </c>
      <c r="B32" s="7" t="s">
        <v>2164</v>
      </c>
      <c r="C32" s="8">
        <v>1</v>
      </c>
      <c r="D32" s="9">
        <v>48.99</v>
      </c>
      <c r="E32" s="8" t="s">
        <v>2165</v>
      </c>
      <c r="F32" s="7"/>
      <c r="G32" s="10"/>
      <c r="H32" s="7" t="s">
        <v>3412</v>
      </c>
      <c r="I32" s="7" t="s">
        <v>3707</v>
      </c>
      <c r="J32" s="7" t="s">
        <v>3358</v>
      </c>
      <c r="K32" s="7" t="s">
        <v>3951</v>
      </c>
      <c r="L32" s="11" t="str">
        <f>HYPERLINK("http://slimages.macys.com/is/image/MCY/10974209 ")</f>
        <v xml:space="preserve">http://slimages.macys.com/is/image/MCY/10974209 </v>
      </c>
    </row>
    <row r="33" spans="1:12" ht="39.950000000000003" customHeight="1" x14ac:dyDescent="0.25">
      <c r="A33" s="6" t="s">
        <v>2166</v>
      </c>
      <c r="B33" s="7" t="s">
        <v>2167</v>
      </c>
      <c r="C33" s="8">
        <v>1</v>
      </c>
      <c r="D33" s="9">
        <v>37.99</v>
      </c>
      <c r="E33" s="8" t="s">
        <v>2168</v>
      </c>
      <c r="F33" s="7" t="s">
        <v>3477</v>
      </c>
      <c r="G33" s="10"/>
      <c r="H33" s="7" t="s">
        <v>3412</v>
      </c>
      <c r="I33" s="7" t="s">
        <v>3436</v>
      </c>
      <c r="J33" s="7" t="s">
        <v>3358</v>
      </c>
      <c r="K33" s="7" t="s">
        <v>4098</v>
      </c>
      <c r="L33" s="11" t="str">
        <f>HYPERLINK("http://slimages.macys.com/is/image/MCY/9767713 ")</f>
        <v xml:space="preserve">http://slimages.macys.com/is/image/MCY/9767713 </v>
      </c>
    </row>
    <row r="34" spans="1:12" ht="39.950000000000003" customHeight="1" x14ac:dyDescent="0.25">
      <c r="A34" s="6" t="s">
        <v>2169</v>
      </c>
      <c r="B34" s="7" t="s">
        <v>2170</v>
      </c>
      <c r="C34" s="8">
        <v>1</v>
      </c>
      <c r="D34" s="9">
        <v>29.99</v>
      </c>
      <c r="E34" s="8" t="s">
        <v>2171</v>
      </c>
      <c r="F34" s="7" t="s">
        <v>3477</v>
      </c>
      <c r="G34" s="10"/>
      <c r="H34" s="7" t="s">
        <v>3422</v>
      </c>
      <c r="I34" s="7" t="s">
        <v>2934</v>
      </c>
      <c r="J34" s="7" t="s">
        <v>3358</v>
      </c>
      <c r="K34" s="7" t="s">
        <v>2172</v>
      </c>
      <c r="L34" s="11" t="str">
        <f>HYPERLINK("http://slimages.macys.com/is/image/MCY/13856130 ")</f>
        <v xml:space="preserve">http://slimages.macys.com/is/image/MCY/13856130 </v>
      </c>
    </row>
    <row r="35" spans="1:12" ht="39.950000000000003" customHeight="1" x14ac:dyDescent="0.25">
      <c r="A35" s="6" t="s">
        <v>2173</v>
      </c>
      <c r="B35" s="7" t="s">
        <v>2174</v>
      </c>
      <c r="C35" s="8">
        <v>1</v>
      </c>
      <c r="D35" s="9">
        <v>39.99</v>
      </c>
      <c r="E35" s="8">
        <v>100071330</v>
      </c>
      <c r="F35" s="7" t="s">
        <v>3477</v>
      </c>
      <c r="G35" s="10"/>
      <c r="H35" s="7" t="s">
        <v>3454</v>
      </c>
      <c r="I35" s="7" t="s">
        <v>3915</v>
      </c>
      <c r="J35" s="7" t="s">
        <v>3358</v>
      </c>
      <c r="K35" s="7" t="s">
        <v>2175</v>
      </c>
      <c r="L35" s="11" t="str">
        <f>HYPERLINK("http://slimages.macys.com/is/image/MCY/14337687 ")</f>
        <v xml:space="preserve">http://slimages.macys.com/is/image/MCY/14337687 </v>
      </c>
    </row>
    <row r="36" spans="1:12" ht="39.950000000000003" customHeight="1" x14ac:dyDescent="0.25">
      <c r="A36" s="6" t="s">
        <v>2176</v>
      </c>
      <c r="B36" s="7" t="s">
        <v>2177</v>
      </c>
      <c r="C36" s="8">
        <v>1</v>
      </c>
      <c r="D36" s="9">
        <v>29.99</v>
      </c>
      <c r="E36" s="8">
        <v>224034</v>
      </c>
      <c r="F36" s="7" t="s">
        <v>3937</v>
      </c>
      <c r="G36" s="10" t="s">
        <v>3453</v>
      </c>
      <c r="H36" s="7" t="s">
        <v>3492</v>
      </c>
      <c r="I36" s="7" t="s">
        <v>2991</v>
      </c>
      <c r="J36" s="7" t="s">
        <v>3358</v>
      </c>
      <c r="K36" s="7" t="s">
        <v>2178</v>
      </c>
      <c r="L36" s="11" t="str">
        <f>HYPERLINK("http://slimages.macys.com/is/image/MCY/12099425 ")</f>
        <v xml:space="preserve">http://slimages.macys.com/is/image/MCY/12099425 </v>
      </c>
    </row>
    <row r="37" spans="1:12" ht="39.950000000000003" customHeight="1" x14ac:dyDescent="0.25">
      <c r="A37" s="6" t="s">
        <v>2179</v>
      </c>
      <c r="B37" s="7" t="s">
        <v>2180</v>
      </c>
      <c r="C37" s="8">
        <v>1</v>
      </c>
      <c r="D37" s="9">
        <v>29.99</v>
      </c>
      <c r="E37" s="8">
        <v>26930</v>
      </c>
      <c r="F37" s="7" t="s">
        <v>3937</v>
      </c>
      <c r="G37" s="10" t="s">
        <v>3504</v>
      </c>
      <c r="H37" s="7" t="s">
        <v>3515</v>
      </c>
      <c r="I37" s="7" t="s">
        <v>2181</v>
      </c>
      <c r="J37" s="7" t="s">
        <v>3358</v>
      </c>
      <c r="K37" s="7" t="s">
        <v>3390</v>
      </c>
      <c r="L37" s="11" t="str">
        <f>HYPERLINK("http://slimages.macys.com/is/image/MCY/9022011 ")</f>
        <v xml:space="preserve">http://slimages.macys.com/is/image/MCY/9022011 </v>
      </c>
    </row>
    <row r="38" spans="1:12" ht="39.950000000000003" customHeight="1" x14ac:dyDescent="0.25">
      <c r="A38" s="6" t="s">
        <v>2182</v>
      </c>
      <c r="B38" s="7" t="s">
        <v>2183</v>
      </c>
      <c r="C38" s="8">
        <v>2</v>
      </c>
      <c r="D38" s="9">
        <v>59.98</v>
      </c>
      <c r="E38" s="8">
        <v>1010501300</v>
      </c>
      <c r="F38" s="7" t="s">
        <v>3384</v>
      </c>
      <c r="G38" s="10"/>
      <c r="H38" s="7" t="s">
        <v>3482</v>
      </c>
      <c r="I38" s="7" t="s">
        <v>3651</v>
      </c>
      <c r="J38" s="7"/>
      <c r="K38" s="7"/>
      <c r="L38" s="11" t="str">
        <f>HYPERLINK("http://slimages.macys.com/is/image/MCY/17798892 ")</f>
        <v xml:space="preserve">http://slimages.macys.com/is/image/MCY/17798892 </v>
      </c>
    </row>
    <row r="39" spans="1:12" ht="39.950000000000003" customHeight="1" x14ac:dyDescent="0.25">
      <c r="A39" s="6" t="s">
        <v>2184</v>
      </c>
      <c r="B39" s="7" t="s">
        <v>2185</v>
      </c>
      <c r="C39" s="8">
        <v>1</v>
      </c>
      <c r="D39" s="9">
        <v>19.989999999999998</v>
      </c>
      <c r="E39" s="8" t="s">
        <v>2186</v>
      </c>
      <c r="F39" s="7" t="s">
        <v>3531</v>
      </c>
      <c r="G39" s="10" t="s">
        <v>2187</v>
      </c>
      <c r="H39" s="7" t="s">
        <v>3431</v>
      </c>
      <c r="I39" s="7" t="s">
        <v>3432</v>
      </c>
      <c r="J39" s="7" t="s">
        <v>3358</v>
      </c>
      <c r="K39" s="7"/>
      <c r="L39" s="11" t="str">
        <f>HYPERLINK("http://slimages.macys.com/is/image/MCY/3713980 ")</f>
        <v xml:space="preserve">http://slimages.macys.com/is/image/MCY/3713980 </v>
      </c>
    </row>
    <row r="40" spans="1:12" ht="39.950000000000003" customHeight="1" x14ac:dyDescent="0.25">
      <c r="A40" s="6" t="s">
        <v>2188</v>
      </c>
      <c r="B40" s="7" t="s">
        <v>2189</v>
      </c>
      <c r="C40" s="8">
        <v>1</v>
      </c>
      <c r="D40" s="9">
        <v>31.99</v>
      </c>
      <c r="E40" s="8" t="s">
        <v>2190</v>
      </c>
      <c r="F40" s="7" t="s">
        <v>3525</v>
      </c>
      <c r="G40" s="10"/>
      <c r="H40" s="7" t="s">
        <v>3412</v>
      </c>
      <c r="I40" s="7" t="s">
        <v>3436</v>
      </c>
      <c r="J40" s="7" t="s">
        <v>3358</v>
      </c>
      <c r="K40" s="7" t="s">
        <v>3715</v>
      </c>
      <c r="L40" s="11" t="str">
        <f>HYPERLINK("http://slimages.macys.com/is/image/MCY/9767721 ")</f>
        <v xml:space="preserve">http://slimages.macys.com/is/image/MCY/9767721 </v>
      </c>
    </row>
    <row r="41" spans="1:12" ht="39.950000000000003" customHeight="1" x14ac:dyDescent="0.25">
      <c r="A41" s="6" t="s">
        <v>2191</v>
      </c>
      <c r="B41" s="7" t="s">
        <v>2192</v>
      </c>
      <c r="C41" s="8">
        <v>1</v>
      </c>
      <c r="D41" s="9">
        <v>29.99</v>
      </c>
      <c r="E41" s="8" t="s">
        <v>2193</v>
      </c>
      <c r="F41" s="7" t="s">
        <v>3498</v>
      </c>
      <c r="G41" s="10"/>
      <c r="H41" s="7" t="s">
        <v>3492</v>
      </c>
      <c r="I41" s="7" t="s">
        <v>3499</v>
      </c>
      <c r="J41" s="7"/>
      <c r="K41" s="7"/>
      <c r="L41" s="11" t="str">
        <f>HYPERLINK("http://slimages.macys.com/is/image/MCY/17566507 ")</f>
        <v xml:space="preserve">http://slimages.macys.com/is/image/MCY/17566507 </v>
      </c>
    </row>
    <row r="42" spans="1:12" ht="39.950000000000003" customHeight="1" x14ac:dyDescent="0.25">
      <c r="A42" s="6" t="s">
        <v>2194</v>
      </c>
      <c r="B42" s="7" t="s">
        <v>2195</v>
      </c>
      <c r="C42" s="8">
        <v>1</v>
      </c>
      <c r="D42" s="9">
        <v>24.99</v>
      </c>
      <c r="E42" s="8">
        <v>55086</v>
      </c>
      <c r="F42" s="7" t="s">
        <v>3525</v>
      </c>
      <c r="G42" s="10"/>
      <c r="H42" s="7" t="s">
        <v>3492</v>
      </c>
      <c r="I42" s="7" t="s">
        <v>3636</v>
      </c>
      <c r="J42" s="7" t="s">
        <v>3358</v>
      </c>
      <c r="K42" s="7" t="s">
        <v>3390</v>
      </c>
      <c r="L42" s="11" t="str">
        <f>HYPERLINK("http://slimages.macys.com/is/image/MCY/9644106 ")</f>
        <v xml:space="preserve">http://slimages.macys.com/is/image/MCY/9644106 </v>
      </c>
    </row>
    <row r="43" spans="1:12" ht="39.950000000000003" customHeight="1" x14ac:dyDescent="0.25">
      <c r="A43" s="6" t="s">
        <v>2196</v>
      </c>
      <c r="B43" s="7" t="s">
        <v>2197</v>
      </c>
      <c r="C43" s="8">
        <v>2</v>
      </c>
      <c r="D43" s="9">
        <v>59.98</v>
      </c>
      <c r="E43" s="8" t="s">
        <v>2198</v>
      </c>
      <c r="F43" s="7" t="s">
        <v>3426</v>
      </c>
      <c r="G43" s="10"/>
      <c r="H43" s="7" t="s">
        <v>3492</v>
      </c>
      <c r="I43" s="7" t="s">
        <v>2199</v>
      </c>
      <c r="J43" s="7" t="s">
        <v>3358</v>
      </c>
      <c r="K43" s="7" t="s">
        <v>3390</v>
      </c>
      <c r="L43" s="11" t="str">
        <f>HYPERLINK("http://slimages.macys.com/is/image/MCY/2075000 ")</f>
        <v xml:space="preserve">http://slimages.macys.com/is/image/MCY/2075000 </v>
      </c>
    </row>
    <row r="44" spans="1:12" ht="39.950000000000003" customHeight="1" x14ac:dyDescent="0.25">
      <c r="A44" s="6" t="s">
        <v>2200</v>
      </c>
      <c r="B44" s="7" t="s">
        <v>2201</v>
      </c>
      <c r="C44" s="8">
        <v>1</v>
      </c>
      <c r="D44" s="9">
        <v>33.99</v>
      </c>
      <c r="E44" s="8" t="s">
        <v>2202</v>
      </c>
      <c r="F44" s="7" t="s">
        <v>3925</v>
      </c>
      <c r="G44" s="10" t="s">
        <v>2203</v>
      </c>
      <c r="H44" s="7" t="s">
        <v>3492</v>
      </c>
      <c r="I44" s="7" t="s">
        <v>2204</v>
      </c>
      <c r="J44" s="7" t="s">
        <v>3358</v>
      </c>
      <c r="K44" s="7" t="s">
        <v>3390</v>
      </c>
      <c r="L44" s="11" t="str">
        <f>HYPERLINK("http://slimages.macys.com/is/image/MCY/15827473 ")</f>
        <v xml:space="preserve">http://slimages.macys.com/is/image/MCY/15827473 </v>
      </c>
    </row>
    <row r="45" spans="1:12" ht="39.950000000000003" customHeight="1" x14ac:dyDescent="0.25">
      <c r="A45" s="6" t="s">
        <v>2205</v>
      </c>
      <c r="B45" s="7" t="s">
        <v>2206</v>
      </c>
      <c r="C45" s="8">
        <v>1</v>
      </c>
      <c r="D45" s="9">
        <v>24.99</v>
      </c>
      <c r="E45" s="8">
        <v>53662</v>
      </c>
      <c r="F45" s="7" t="s">
        <v>3384</v>
      </c>
      <c r="G45" s="10" t="s">
        <v>2207</v>
      </c>
      <c r="H45" s="7" t="s">
        <v>3492</v>
      </c>
      <c r="I45" s="7" t="s">
        <v>3636</v>
      </c>
      <c r="J45" s="7" t="s">
        <v>3358</v>
      </c>
      <c r="K45" s="7" t="s">
        <v>3390</v>
      </c>
      <c r="L45" s="11" t="str">
        <f>HYPERLINK("http://slimages.macys.com/is/image/MCY/9972690 ")</f>
        <v xml:space="preserve">http://slimages.macys.com/is/image/MCY/9972690 </v>
      </c>
    </row>
    <row r="46" spans="1:12" ht="39.950000000000003" customHeight="1" x14ac:dyDescent="0.25">
      <c r="A46" s="6" t="s">
        <v>2208</v>
      </c>
      <c r="B46" s="7" t="s">
        <v>2209</v>
      </c>
      <c r="C46" s="8">
        <v>1</v>
      </c>
      <c r="D46" s="9">
        <v>39.99</v>
      </c>
      <c r="E46" s="8">
        <v>130116</v>
      </c>
      <c r="F46" s="7" t="s">
        <v>3363</v>
      </c>
      <c r="G46" s="10" t="s">
        <v>3788</v>
      </c>
      <c r="H46" s="7" t="s">
        <v>3422</v>
      </c>
      <c r="I46" s="7" t="s">
        <v>3423</v>
      </c>
      <c r="J46" s="7" t="s">
        <v>3358</v>
      </c>
      <c r="K46" s="7" t="s">
        <v>3390</v>
      </c>
      <c r="L46" s="11" t="str">
        <f>HYPERLINK("http://slimages.macys.com/is/image/MCY/3895749 ")</f>
        <v xml:space="preserve">http://slimages.macys.com/is/image/MCY/3895749 </v>
      </c>
    </row>
    <row r="47" spans="1:12" ht="39.950000000000003" customHeight="1" x14ac:dyDescent="0.25">
      <c r="A47" s="6" t="s">
        <v>4349</v>
      </c>
      <c r="B47" s="7" t="s">
        <v>4350</v>
      </c>
      <c r="C47" s="8">
        <v>1</v>
      </c>
      <c r="D47" s="9">
        <v>24.99</v>
      </c>
      <c r="E47" s="8" t="s">
        <v>4351</v>
      </c>
      <c r="F47" s="7" t="s">
        <v>3363</v>
      </c>
      <c r="G47" s="10"/>
      <c r="H47" s="7" t="s">
        <v>3388</v>
      </c>
      <c r="I47" s="7" t="s">
        <v>3423</v>
      </c>
      <c r="J47" s="7" t="s">
        <v>3358</v>
      </c>
      <c r="K47" s="7" t="s">
        <v>4336</v>
      </c>
      <c r="L47" s="11" t="str">
        <f>HYPERLINK("http://slimages.macys.com/is/image/MCY/11189220 ")</f>
        <v xml:space="preserve">http://slimages.macys.com/is/image/MCY/11189220 </v>
      </c>
    </row>
    <row r="48" spans="1:12" ht="39.950000000000003" customHeight="1" x14ac:dyDescent="0.25">
      <c r="A48" s="6" t="s">
        <v>2210</v>
      </c>
      <c r="B48" s="7" t="s">
        <v>2211</v>
      </c>
      <c r="C48" s="8">
        <v>2</v>
      </c>
      <c r="D48" s="9">
        <v>83.98</v>
      </c>
      <c r="E48" s="8" t="s">
        <v>2212</v>
      </c>
      <c r="F48" s="7" t="s">
        <v>3542</v>
      </c>
      <c r="G48" s="10" t="s">
        <v>3663</v>
      </c>
      <c r="H48" s="7" t="s">
        <v>3471</v>
      </c>
      <c r="I48" s="7" t="s">
        <v>3761</v>
      </c>
      <c r="J48" s="7" t="s">
        <v>3751</v>
      </c>
      <c r="K48" s="7"/>
      <c r="L48" s="11" t="str">
        <f>HYPERLINK("http://slimages.macys.com/is/image/MCY/9406085 ")</f>
        <v xml:space="preserve">http://slimages.macys.com/is/image/MCY/9406085 </v>
      </c>
    </row>
    <row r="49" spans="1:12" ht="39.950000000000003" customHeight="1" x14ac:dyDescent="0.25">
      <c r="A49" s="6" t="s">
        <v>2213</v>
      </c>
      <c r="B49" s="7" t="s">
        <v>2214</v>
      </c>
      <c r="C49" s="8">
        <v>1</v>
      </c>
      <c r="D49" s="9">
        <v>17.989999999999998</v>
      </c>
      <c r="E49" s="8">
        <v>51744</v>
      </c>
      <c r="F49" s="7" t="s">
        <v>3553</v>
      </c>
      <c r="G49" s="10" t="s">
        <v>2207</v>
      </c>
      <c r="H49" s="7" t="s">
        <v>3492</v>
      </c>
      <c r="I49" s="7" t="s">
        <v>3636</v>
      </c>
      <c r="J49" s="7" t="s">
        <v>3358</v>
      </c>
      <c r="K49" s="7"/>
      <c r="L49" s="11" t="str">
        <f>HYPERLINK("http://slimages.macys.com/is/image/MCY/9057692 ")</f>
        <v xml:space="preserve">http://slimages.macys.com/is/image/MCY/9057692 </v>
      </c>
    </row>
    <row r="50" spans="1:12" ht="39.950000000000003" customHeight="1" x14ac:dyDescent="0.25">
      <c r="A50" s="6" t="s">
        <v>2215</v>
      </c>
      <c r="B50" s="7" t="s">
        <v>2216</v>
      </c>
      <c r="C50" s="8">
        <v>1</v>
      </c>
      <c r="D50" s="9">
        <v>17.989999999999998</v>
      </c>
      <c r="E50" s="8" t="s">
        <v>2217</v>
      </c>
      <c r="F50" s="7" t="s">
        <v>3514</v>
      </c>
      <c r="G50" s="10" t="s">
        <v>3532</v>
      </c>
      <c r="H50" s="7" t="s">
        <v>3372</v>
      </c>
      <c r="I50" s="7" t="s">
        <v>3565</v>
      </c>
      <c r="J50" s="7" t="s">
        <v>3358</v>
      </c>
      <c r="K50" s="7" t="s">
        <v>3403</v>
      </c>
      <c r="L50" s="11" t="str">
        <f>HYPERLINK("http://slimages.macys.com/is/image/MCY/14401459 ")</f>
        <v xml:space="preserve">http://slimages.macys.com/is/image/MCY/14401459 </v>
      </c>
    </row>
    <row r="51" spans="1:12" ht="39.950000000000003" customHeight="1" x14ac:dyDescent="0.25">
      <c r="A51" s="6" t="s">
        <v>4358</v>
      </c>
      <c r="B51" s="7" t="s">
        <v>2367</v>
      </c>
      <c r="C51" s="8">
        <v>1</v>
      </c>
      <c r="D51" s="9">
        <v>9.99</v>
      </c>
      <c r="E51" s="8" t="s">
        <v>2368</v>
      </c>
      <c r="F51" s="7" t="s">
        <v>3363</v>
      </c>
      <c r="G51" s="10"/>
      <c r="H51" s="7" t="s">
        <v>3492</v>
      </c>
      <c r="I51" s="7" t="s">
        <v>3536</v>
      </c>
      <c r="J51" s="7" t="s">
        <v>3358</v>
      </c>
      <c r="K51" s="7"/>
      <c r="L51" s="11" t="str">
        <f>HYPERLINK("http://slimages.macys.com/is/image/MCY/15383508 ")</f>
        <v xml:space="preserve">http://slimages.macys.com/is/image/MCY/15383508 </v>
      </c>
    </row>
    <row r="52" spans="1:12" ht="39.950000000000003" customHeight="1" x14ac:dyDescent="0.25">
      <c r="A52" s="6" t="s">
        <v>2218</v>
      </c>
      <c r="B52" s="7" t="s">
        <v>2219</v>
      </c>
      <c r="C52" s="8">
        <v>1</v>
      </c>
      <c r="D52" s="9">
        <v>29.99</v>
      </c>
      <c r="E52" s="8" t="s">
        <v>2220</v>
      </c>
      <c r="F52" s="7" t="s">
        <v>3384</v>
      </c>
      <c r="G52" s="10"/>
      <c r="H52" s="7" t="s">
        <v>3408</v>
      </c>
      <c r="I52" s="7" t="s">
        <v>3409</v>
      </c>
      <c r="J52" s="7" t="s">
        <v>3358</v>
      </c>
      <c r="K52" s="7"/>
      <c r="L52" s="11" t="str">
        <f>HYPERLINK("http://slimages.macys.com/is/image/MCY/8707771 ")</f>
        <v xml:space="preserve">http://slimages.macys.com/is/image/MCY/8707771 </v>
      </c>
    </row>
    <row r="53" spans="1:12" ht="39.950000000000003" customHeight="1" x14ac:dyDescent="0.25">
      <c r="A53" s="6" t="s">
        <v>2221</v>
      </c>
      <c r="B53" s="7" t="s">
        <v>2222</v>
      </c>
      <c r="C53" s="8">
        <v>1</v>
      </c>
      <c r="D53" s="9">
        <v>24.99</v>
      </c>
      <c r="E53" s="8">
        <v>6465</v>
      </c>
      <c r="F53" s="7" t="s">
        <v>3363</v>
      </c>
      <c r="G53" s="10" t="s">
        <v>3504</v>
      </c>
      <c r="H53" s="7" t="s">
        <v>3388</v>
      </c>
      <c r="I53" s="7" t="s">
        <v>2223</v>
      </c>
      <c r="J53" s="7" t="s">
        <v>3358</v>
      </c>
      <c r="K53" s="7"/>
      <c r="L53" s="11" t="str">
        <f>HYPERLINK("http://slimages.macys.com/is/image/MCY/13688588 ")</f>
        <v xml:space="preserve">http://slimages.macys.com/is/image/MCY/13688588 </v>
      </c>
    </row>
    <row r="54" spans="1:12" ht="39.950000000000003" customHeight="1" x14ac:dyDescent="0.25">
      <c r="A54" s="6" t="s">
        <v>2224</v>
      </c>
      <c r="B54" s="7" t="s">
        <v>2225</v>
      </c>
      <c r="C54" s="8">
        <v>1</v>
      </c>
      <c r="D54" s="9">
        <v>19.989999999999998</v>
      </c>
      <c r="E54" s="8" t="s">
        <v>2226</v>
      </c>
      <c r="F54" s="7" t="s">
        <v>3542</v>
      </c>
      <c r="G54" s="10"/>
      <c r="H54" s="7" t="s">
        <v>3515</v>
      </c>
      <c r="I54" s="7" t="s">
        <v>3436</v>
      </c>
      <c r="J54" s="7"/>
      <c r="K54" s="7"/>
      <c r="L54" s="11" t="str">
        <f>HYPERLINK("http://slimages.macys.com/is/image/MCY/9020995 ")</f>
        <v xml:space="preserve">http://slimages.macys.com/is/image/MCY/9020995 </v>
      </c>
    </row>
    <row r="55" spans="1:12" ht="39.950000000000003" customHeight="1" x14ac:dyDescent="0.25">
      <c r="A55" s="6" t="s">
        <v>2227</v>
      </c>
      <c r="B55" s="7" t="s">
        <v>2228</v>
      </c>
      <c r="C55" s="8">
        <v>1</v>
      </c>
      <c r="D55" s="9">
        <v>12.99</v>
      </c>
      <c r="E55" s="8" t="s">
        <v>2229</v>
      </c>
      <c r="F55" s="7" t="s">
        <v>3384</v>
      </c>
      <c r="G55" s="10" t="s">
        <v>3532</v>
      </c>
      <c r="H55" s="7" t="s">
        <v>3372</v>
      </c>
      <c r="I55" s="7" t="s">
        <v>3413</v>
      </c>
      <c r="J55" s="7"/>
      <c r="K55" s="7"/>
      <c r="L55" s="11" t="str">
        <f>HYPERLINK("http://slimages.macys.com/is/image/MCY/16696453 ")</f>
        <v xml:space="preserve">http://slimages.macys.com/is/image/MCY/16696453 </v>
      </c>
    </row>
    <row r="56" spans="1:12" ht="39.950000000000003" customHeight="1" x14ac:dyDescent="0.25">
      <c r="A56" s="6" t="s">
        <v>2067</v>
      </c>
      <c r="B56" s="7" t="s">
        <v>2068</v>
      </c>
      <c r="C56" s="8">
        <v>1</v>
      </c>
      <c r="D56" s="9">
        <v>14.99</v>
      </c>
      <c r="E56" s="8" t="s">
        <v>2069</v>
      </c>
      <c r="F56" s="7" t="s">
        <v>3735</v>
      </c>
      <c r="G56" s="10" t="s">
        <v>3893</v>
      </c>
      <c r="H56" s="7" t="s">
        <v>3492</v>
      </c>
      <c r="I56" s="7" t="s">
        <v>4212</v>
      </c>
      <c r="J56" s="7"/>
      <c r="K56" s="7"/>
      <c r="L56" s="11" t="str">
        <f>HYPERLINK("http://slimages.macys.com/is/image/MCY/17620637 ")</f>
        <v xml:space="preserve">http://slimages.macys.com/is/image/MCY/17620637 </v>
      </c>
    </row>
    <row r="57" spans="1:12" ht="39.950000000000003" customHeight="1" x14ac:dyDescent="0.25">
      <c r="A57" s="6" t="s">
        <v>2230</v>
      </c>
      <c r="B57" s="7" t="s">
        <v>2231</v>
      </c>
      <c r="C57" s="8">
        <v>3</v>
      </c>
      <c r="D57" s="9">
        <v>44.97</v>
      </c>
      <c r="E57" s="8" t="s">
        <v>2232</v>
      </c>
      <c r="F57" s="7" t="s">
        <v>3384</v>
      </c>
      <c r="G57" s="10" t="s">
        <v>3893</v>
      </c>
      <c r="H57" s="7" t="s">
        <v>3492</v>
      </c>
      <c r="I57" s="7" t="s">
        <v>4212</v>
      </c>
      <c r="J57" s="7"/>
      <c r="K57" s="7"/>
      <c r="L57" s="11" t="str">
        <f>HYPERLINK("http://slimages.macys.com/is/image/MCY/17620637 ")</f>
        <v xml:space="preserve">http://slimages.macys.com/is/image/MCY/17620637 </v>
      </c>
    </row>
    <row r="58" spans="1:12" ht="39.950000000000003" customHeight="1" x14ac:dyDescent="0.25">
      <c r="A58" s="6" t="s">
        <v>2233</v>
      </c>
      <c r="B58" s="7" t="s">
        <v>2234</v>
      </c>
      <c r="C58" s="8">
        <v>1</v>
      </c>
      <c r="D58" s="9">
        <v>14.99</v>
      </c>
      <c r="E58" s="8" t="s">
        <v>2235</v>
      </c>
      <c r="F58" s="7" t="s">
        <v>2663</v>
      </c>
      <c r="G58" s="10" t="s">
        <v>3893</v>
      </c>
      <c r="H58" s="7" t="s">
        <v>3492</v>
      </c>
      <c r="I58" s="7" t="s">
        <v>4212</v>
      </c>
      <c r="J58" s="7"/>
      <c r="K58" s="7"/>
      <c r="L58" s="11" t="str">
        <f>HYPERLINK("http://slimages.macys.com/is/image/MCY/17620635 ")</f>
        <v xml:space="preserve">http://slimages.macys.com/is/image/MCY/17620635 </v>
      </c>
    </row>
    <row r="59" spans="1:12" ht="39.950000000000003" customHeight="1" x14ac:dyDescent="0.25">
      <c r="A59" s="6" t="s">
        <v>2578</v>
      </c>
      <c r="B59" s="7" t="s">
        <v>2579</v>
      </c>
      <c r="C59" s="8">
        <v>1</v>
      </c>
      <c r="D59" s="9">
        <v>11.99</v>
      </c>
      <c r="E59" s="8">
        <v>48934</v>
      </c>
      <c r="F59" s="7" t="s">
        <v>3531</v>
      </c>
      <c r="G59" s="10"/>
      <c r="H59" s="7" t="s">
        <v>3492</v>
      </c>
      <c r="I59" s="7" t="s">
        <v>3636</v>
      </c>
      <c r="J59" s="7" t="s">
        <v>3358</v>
      </c>
      <c r="K59" s="7"/>
      <c r="L59" s="11" t="str">
        <f>HYPERLINK("http://slimages.macys.com/is/image/MCY/9056392 ")</f>
        <v xml:space="preserve">http://slimages.macys.com/is/image/MCY/9056392 </v>
      </c>
    </row>
    <row r="60" spans="1:12" ht="39.950000000000003" customHeight="1" x14ac:dyDescent="0.25">
      <c r="A60" s="6" t="s">
        <v>2236</v>
      </c>
      <c r="B60" s="7" t="s">
        <v>2237</v>
      </c>
      <c r="C60" s="8">
        <v>1</v>
      </c>
      <c r="D60" s="9">
        <v>34.99</v>
      </c>
      <c r="E60" s="8" t="s">
        <v>2238</v>
      </c>
      <c r="F60" s="7" t="s">
        <v>3553</v>
      </c>
      <c r="G60" s="10"/>
      <c r="H60" s="7" t="s">
        <v>3431</v>
      </c>
      <c r="I60" s="7" t="s">
        <v>3432</v>
      </c>
      <c r="J60" s="7" t="s">
        <v>3358</v>
      </c>
      <c r="K60" s="7"/>
      <c r="L60" s="11" t="str">
        <f>HYPERLINK("http://slimages.macys.com/is/image/MCY/9513140 ")</f>
        <v xml:space="preserve">http://slimages.macys.com/is/image/MCY/9513140 </v>
      </c>
    </row>
    <row r="61" spans="1:12" ht="39.950000000000003" customHeight="1" x14ac:dyDescent="0.25">
      <c r="A61" s="6" t="s">
        <v>2239</v>
      </c>
      <c r="B61" s="7" t="s">
        <v>2240</v>
      </c>
      <c r="C61" s="8">
        <v>1</v>
      </c>
      <c r="D61" s="9">
        <v>11.99</v>
      </c>
      <c r="E61" s="8" t="s">
        <v>2241</v>
      </c>
      <c r="F61" s="7" t="s">
        <v>3503</v>
      </c>
      <c r="G61" s="10"/>
      <c r="H61" s="7" t="s">
        <v>4165</v>
      </c>
      <c r="I61" s="7" t="s">
        <v>2242</v>
      </c>
      <c r="J61" s="7"/>
      <c r="K61" s="7" t="s">
        <v>1499</v>
      </c>
      <c r="L61" s="11" t="str">
        <f>HYPERLINK("http://slimages.macys.com/is/image/MCY/2033704 ")</f>
        <v xml:space="preserve">http://slimages.macys.com/is/image/MCY/2033704 </v>
      </c>
    </row>
    <row r="62" spans="1:12" ht="39.950000000000003" customHeight="1" x14ac:dyDescent="0.25">
      <c r="A62" s="6" t="s">
        <v>3533</v>
      </c>
      <c r="B62" s="7" t="s">
        <v>3534</v>
      </c>
      <c r="C62" s="8">
        <v>3</v>
      </c>
      <c r="D62" s="9">
        <v>29.97</v>
      </c>
      <c r="E62" s="8" t="s">
        <v>3535</v>
      </c>
      <c r="F62" s="7" t="s">
        <v>3525</v>
      </c>
      <c r="G62" s="10"/>
      <c r="H62" s="7" t="s">
        <v>3492</v>
      </c>
      <c r="I62" s="7" t="s">
        <v>3536</v>
      </c>
      <c r="J62" s="7"/>
      <c r="K62" s="7"/>
      <c r="L62" s="11" t="str">
        <f>HYPERLINK("http://slimages.macys.com/is/image/MCY/17995886 ")</f>
        <v xml:space="preserve">http://slimages.macys.com/is/image/MCY/17995886 </v>
      </c>
    </row>
    <row r="63" spans="1:12" ht="39.950000000000003" customHeight="1" x14ac:dyDescent="0.25">
      <c r="A63" s="6" t="s">
        <v>2243</v>
      </c>
      <c r="B63" s="7" t="s">
        <v>2244</v>
      </c>
      <c r="C63" s="8">
        <v>1</v>
      </c>
      <c r="D63" s="9">
        <v>13.99</v>
      </c>
      <c r="E63" s="8" t="s">
        <v>2245</v>
      </c>
      <c r="F63" s="7" t="s">
        <v>3384</v>
      </c>
      <c r="G63" s="10" t="s">
        <v>3774</v>
      </c>
      <c r="H63" s="7" t="s">
        <v>3482</v>
      </c>
      <c r="I63" s="7" t="s">
        <v>3618</v>
      </c>
      <c r="J63" s="7" t="s">
        <v>3358</v>
      </c>
      <c r="K63" s="7" t="s">
        <v>3484</v>
      </c>
      <c r="L63" s="11" t="str">
        <f>HYPERLINK("http://slimages.macys.com/is/image/MCY/3272675 ")</f>
        <v xml:space="preserve">http://slimages.macys.com/is/image/MCY/3272675 </v>
      </c>
    </row>
    <row r="64" spans="1:12" ht="39.950000000000003" customHeight="1" x14ac:dyDescent="0.25">
      <c r="A64" s="6" t="s">
        <v>2246</v>
      </c>
      <c r="B64" s="7" t="s">
        <v>2247</v>
      </c>
      <c r="C64" s="8">
        <v>1</v>
      </c>
      <c r="D64" s="9">
        <v>5.99</v>
      </c>
      <c r="E64" s="8" t="s">
        <v>2248</v>
      </c>
      <c r="F64" s="7" t="s">
        <v>3498</v>
      </c>
      <c r="G64" s="10" t="s">
        <v>3774</v>
      </c>
      <c r="H64" s="7" t="s">
        <v>3482</v>
      </c>
      <c r="I64" s="7" t="s">
        <v>3483</v>
      </c>
      <c r="J64" s="7" t="s">
        <v>3358</v>
      </c>
      <c r="K64" s="7" t="s">
        <v>3484</v>
      </c>
      <c r="L64" s="11" t="str">
        <f>HYPERLINK("http://slimages.macys.com/is/image/MCY/12723265 ")</f>
        <v xml:space="preserve">http://slimages.macys.com/is/image/MCY/12723265 </v>
      </c>
    </row>
    <row r="65" spans="1:12" ht="39.950000000000003" customHeight="1" x14ac:dyDescent="0.25">
      <c r="A65" s="6" t="s">
        <v>3540</v>
      </c>
      <c r="B65" s="7" t="s">
        <v>3541</v>
      </c>
      <c r="C65" s="8">
        <v>19</v>
      </c>
      <c r="D65" s="9">
        <v>760</v>
      </c>
      <c r="E65" s="8"/>
      <c r="F65" s="7" t="s">
        <v>3542</v>
      </c>
      <c r="G65" s="10" t="s">
        <v>3504</v>
      </c>
      <c r="H65" s="7" t="s">
        <v>3543</v>
      </c>
      <c r="I65" s="7" t="s">
        <v>3544</v>
      </c>
      <c r="J65" s="7"/>
      <c r="K65" s="7"/>
      <c r="L65" s="11"/>
    </row>
    <row r="66" spans="1:12" ht="39.950000000000003" customHeight="1" x14ac:dyDescent="0.25">
      <c r="A66" s="6" t="s">
        <v>2249</v>
      </c>
      <c r="B66" s="7" t="s">
        <v>2250</v>
      </c>
      <c r="C66" s="8">
        <v>1</v>
      </c>
      <c r="D66" s="9">
        <v>42</v>
      </c>
      <c r="E66" s="8">
        <v>813538020644</v>
      </c>
      <c r="F66" s="7" t="s">
        <v>3542</v>
      </c>
      <c r="G66" s="10" t="s">
        <v>3504</v>
      </c>
      <c r="H66" s="7" t="s">
        <v>3526</v>
      </c>
      <c r="I66" s="7" t="s">
        <v>4010</v>
      </c>
      <c r="J66" s="7"/>
      <c r="K66" s="7"/>
      <c r="L66" s="11"/>
    </row>
  </sheetData>
  <phoneticPr fontId="0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2251</v>
      </c>
      <c r="B2" s="7" t="s">
        <v>2252</v>
      </c>
      <c r="C2" s="8">
        <v>1</v>
      </c>
      <c r="D2" s="9">
        <v>500</v>
      </c>
      <c r="E2" s="8" t="s">
        <v>2253</v>
      </c>
      <c r="F2" s="7" t="s">
        <v>3384</v>
      </c>
      <c r="G2" s="10"/>
      <c r="H2" s="7" t="s">
        <v>3397</v>
      </c>
      <c r="I2" s="7" t="s">
        <v>3812</v>
      </c>
      <c r="J2" s="7" t="s">
        <v>3813</v>
      </c>
      <c r="K2" s="7" t="s">
        <v>3313</v>
      </c>
      <c r="L2" s="11" t="str">
        <f>HYPERLINK("http://images.bloomingdales.com/is/image/BLM/10523338 ")</f>
        <v xml:space="preserve">http://images.bloomingdales.com/is/image/BLM/10523338 </v>
      </c>
    </row>
    <row r="3" spans="1:12" ht="39.950000000000003" customHeight="1" x14ac:dyDescent="0.25">
      <c r="A3" s="6" t="s">
        <v>2254</v>
      </c>
      <c r="B3" s="7" t="s">
        <v>2255</v>
      </c>
      <c r="C3" s="8">
        <v>1</v>
      </c>
      <c r="D3" s="9">
        <v>289.99</v>
      </c>
      <c r="E3" s="8">
        <v>61223</v>
      </c>
      <c r="F3" s="7" t="s">
        <v>3363</v>
      </c>
      <c r="G3" s="10"/>
      <c r="H3" s="7" t="s">
        <v>3388</v>
      </c>
      <c r="I3" s="7" t="s">
        <v>3389</v>
      </c>
      <c r="J3" s="7" t="s">
        <v>3358</v>
      </c>
      <c r="K3" s="7" t="s">
        <v>2256</v>
      </c>
      <c r="L3" s="11" t="str">
        <f>HYPERLINK("http://slimages.macys.com/is/image/MCY/15866479 ")</f>
        <v xml:space="preserve">http://slimages.macys.com/is/image/MCY/15866479 </v>
      </c>
    </row>
    <row r="4" spans="1:12" ht="39.950000000000003" customHeight="1" x14ac:dyDescent="0.25">
      <c r="A4" s="6" t="s">
        <v>2257</v>
      </c>
      <c r="B4" s="7" t="s">
        <v>2258</v>
      </c>
      <c r="C4" s="8">
        <v>1</v>
      </c>
      <c r="D4" s="9">
        <v>198</v>
      </c>
      <c r="E4" s="8" t="s">
        <v>2259</v>
      </c>
      <c r="F4" s="7" t="s">
        <v>2260</v>
      </c>
      <c r="G4" s="10"/>
      <c r="H4" s="7" t="s">
        <v>3412</v>
      </c>
      <c r="I4" s="7" t="s">
        <v>1511</v>
      </c>
      <c r="J4" s="7" t="s">
        <v>3813</v>
      </c>
      <c r="K4" s="7" t="s">
        <v>3582</v>
      </c>
      <c r="L4" s="11" t="str">
        <f>HYPERLINK("http://images.bloomingdales.com/is/image/BLM/9293636 ")</f>
        <v xml:space="preserve">http://images.bloomingdales.com/is/image/BLM/9293636 </v>
      </c>
    </row>
    <row r="5" spans="1:12" ht="39.950000000000003" customHeight="1" x14ac:dyDescent="0.25">
      <c r="A5" s="6" t="s">
        <v>2261</v>
      </c>
      <c r="B5" s="7" t="s">
        <v>2262</v>
      </c>
      <c r="C5" s="8">
        <v>1</v>
      </c>
      <c r="D5" s="9">
        <v>229</v>
      </c>
      <c r="E5" s="8" t="s">
        <v>2263</v>
      </c>
      <c r="F5" s="7" t="s">
        <v>3443</v>
      </c>
      <c r="G5" s="10"/>
      <c r="H5" s="7" t="s">
        <v>3365</v>
      </c>
      <c r="I5" s="7" t="s">
        <v>3385</v>
      </c>
      <c r="J5" s="7" t="s">
        <v>3358</v>
      </c>
      <c r="K5" s="7" t="s">
        <v>2264</v>
      </c>
      <c r="L5" s="11" t="str">
        <f>HYPERLINK("http://slimages.macys.com/is/image/MCY/12072107 ")</f>
        <v xml:space="preserve">http://slimages.macys.com/is/image/MCY/12072107 </v>
      </c>
    </row>
    <row r="6" spans="1:12" ht="39.950000000000003" customHeight="1" x14ac:dyDescent="0.25">
      <c r="A6" s="6" t="s">
        <v>2265</v>
      </c>
      <c r="B6" s="7" t="s">
        <v>2266</v>
      </c>
      <c r="C6" s="8">
        <v>1</v>
      </c>
      <c r="D6" s="9">
        <v>78.11</v>
      </c>
      <c r="E6" s="8" t="s">
        <v>2267</v>
      </c>
      <c r="F6" s="7"/>
      <c r="G6" s="10"/>
      <c r="H6" s="7" t="s">
        <v>3876</v>
      </c>
      <c r="I6" s="7" t="s">
        <v>2268</v>
      </c>
      <c r="J6" s="7" t="s">
        <v>3358</v>
      </c>
      <c r="K6" s="7" t="s">
        <v>2269</v>
      </c>
      <c r="L6" s="11" t="str">
        <f>HYPERLINK("http://slimages.macys.com/is/image/MCY/12948216 ")</f>
        <v xml:space="preserve">http://slimages.macys.com/is/image/MCY/12948216 </v>
      </c>
    </row>
    <row r="7" spans="1:12" ht="39.950000000000003" customHeight="1" x14ac:dyDescent="0.25">
      <c r="A7" s="6" t="s">
        <v>2270</v>
      </c>
      <c r="B7" s="7" t="s">
        <v>2271</v>
      </c>
      <c r="C7" s="8">
        <v>1</v>
      </c>
      <c r="D7" s="9">
        <v>149.99</v>
      </c>
      <c r="E7" s="8" t="s">
        <v>2272</v>
      </c>
      <c r="F7" s="7"/>
      <c r="G7" s="10"/>
      <c r="H7" s="7" t="s">
        <v>3397</v>
      </c>
      <c r="I7" s="7" t="s">
        <v>3590</v>
      </c>
      <c r="J7" s="7" t="s">
        <v>3358</v>
      </c>
      <c r="K7" s="7" t="s">
        <v>1480</v>
      </c>
      <c r="L7" s="11" t="str">
        <f>HYPERLINK("http://slimages.macys.com/is/image/MCY/14376598 ")</f>
        <v xml:space="preserve">http://slimages.macys.com/is/image/MCY/14376598 </v>
      </c>
    </row>
    <row r="8" spans="1:12" ht="39.950000000000003" customHeight="1" x14ac:dyDescent="0.25">
      <c r="A8" s="6" t="s">
        <v>2635</v>
      </c>
      <c r="B8" s="7" t="s">
        <v>2636</v>
      </c>
      <c r="C8" s="8">
        <v>1</v>
      </c>
      <c r="D8" s="9">
        <v>199.99</v>
      </c>
      <c r="E8" s="8" t="s">
        <v>2637</v>
      </c>
      <c r="F8" s="7" t="s">
        <v>3525</v>
      </c>
      <c r="G8" s="10" t="s">
        <v>3364</v>
      </c>
      <c r="H8" s="7" t="s">
        <v>3658</v>
      </c>
      <c r="I8" s="7" t="s">
        <v>3905</v>
      </c>
      <c r="J8" s="7"/>
      <c r="K8" s="7"/>
      <c r="L8" s="11" t="str">
        <f>HYPERLINK("http://slimages.macys.com/is/image/MCY/16792609 ")</f>
        <v xml:space="preserve">http://slimages.macys.com/is/image/MCY/16792609 </v>
      </c>
    </row>
    <row r="9" spans="1:12" ht="39.950000000000003" customHeight="1" x14ac:dyDescent="0.25">
      <c r="A9" s="6" t="s">
        <v>2273</v>
      </c>
      <c r="B9" s="7" t="s">
        <v>2274</v>
      </c>
      <c r="C9" s="8">
        <v>1</v>
      </c>
      <c r="D9" s="9">
        <v>270</v>
      </c>
      <c r="E9" s="8" t="s">
        <v>2275</v>
      </c>
      <c r="F9" s="7" t="s">
        <v>3384</v>
      </c>
      <c r="G9" s="10"/>
      <c r="H9" s="7" t="s">
        <v>3418</v>
      </c>
      <c r="I9" s="7" t="s">
        <v>3195</v>
      </c>
      <c r="J9" s="7" t="s">
        <v>3751</v>
      </c>
      <c r="K9" s="7" t="s">
        <v>3484</v>
      </c>
      <c r="L9" s="11" t="str">
        <f>HYPERLINK("http://images.bloomingdales.com/is/image/BLM/11020039 ")</f>
        <v xml:space="preserve">http://images.bloomingdales.com/is/image/BLM/11020039 </v>
      </c>
    </row>
    <row r="10" spans="1:12" ht="39.950000000000003" customHeight="1" x14ac:dyDescent="0.25">
      <c r="A10" s="6" t="s">
        <v>2276</v>
      </c>
      <c r="B10" s="7" t="s">
        <v>2277</v>
      </c>
      <c r="C10" s="8">
        <v>1</v>
      </c>
      <c r="D10" s="9">
        <v>109.99</v>
      </c>
      <c r="E10" s="8" t="s">
        <v>2278</v>
      </c>
      <c r="F10" s="7" t="s">
        <v>3363</v>
      </c>
      <c r="G10" s="10"/>
      <c r="H10" s="7" t="s">
        <v>3876</v>
      </c>
      <c r="I10" s="7" t="s">
        <v>2279</v>
      </c>
      <c r="J10" s="7" t="s">
        <v>3358</v>
      </c>
      <c r="K10" s="7" t="s">
        <v>2280</v>
      </c>
      <c r="L10" s="11" t="str">
        <f>HYPERLINK("http://slimages.macys.com/is/image/MCY/11177936 ")</f>
        <v xml:space="preserve">http://slimages.macys.com/is/image/MCY/11177936 </v>
      </c>
    </row>
    <row r="11" spans="1:12" ht="39.950000000000003" customHeight="1" x14ac:dyDescent="0.25">
      <c r="A11" s="6" t="s">
        <v>2281</v>
      </c>
      <c r="B11" s="7" t="s">
        <v>2282</v>
      </c>
      <c r="C11" s="8">
        <v>1</v>
      </c>
      <c r="D11" s="9">
        <v>94.99</v>
      </c>
      <c r="E11" s="8" t="s">
        <v>2283</v>
      </c>
      <c r="F11" s="7" t="s">
        <v>3937</v>
      </c>
      <c r="G11" s="10"/>
      <c r="H11" s="7" t="s">
        <v>3356</v>
      </c>
      <c r="I11" s="7" t="s">
        <v>3849</v>
      </c>
      <c r="J11" s="7" t="s">
        <v>3358</v>
      </c>
      <c r="K11" s="7" t="s">
        <v>3850</v>
      </c>
      <c r="L11" s="11" t="str">
        <f>HYPERLINK("http://slimages.macys.com/is/image/MCY/15198965 ")</f>
        <v xml:space="preserve">http://slimages.macys.com/is/image/MCY/15198965 </v>
      </c>
    </row>
    <row r="12" spans="1:12" ht="39.950000000000003" customHeight="1" x14ac:dyDescent="0.25">
      <c r="A12" s="6" t="s">
        <v>2284</v>
      </c>
      <c r="B12" s="7" t="s">
        <v>2285</v>
      </c>
      <c r="C12" s="8">
        <v>1</v>
      </c>
      <c r="D12" s="9">
        <v>99.99</v>
      </c>
      <c r="E12" s="8" t="s">
        <v>2286</v>
      </c>
      <c r="F12" s="7" t="s">
        <v>3363</v>
      </c>
      <c r="G12" s="10"/>
      <c r="H12" s="7" t="s">
        <v>3876</v>
      </c>
      <c r="I12" s="7" t="s">
        <v>2268</v>
      </c>
      <c r="J12" s="7" t="s">
        <v>3358</v>
      </c>
      <c r="K12" s="7" t="s">
        <v>2269</v>
      </c>
      <c r="L12" s="11" t="str">
        <f>HYPERLINK("http://slimages.macys.com/is/image/MCY/12948215 ")</f>
        <v xml:space="preserve">http://slimages.macys.com/is/image/MCY/12948215 </v>
      </c>
    </row>
    <row r="13" spans="1:12" ht="39.950000000000003" customHeight="1" x14ac:dyDescent="0.25">
      <c r="A13" s="6" t="s">
        <v>2287</v>
      </c>
      <c r="B13" s="7" t="s">
        <v>2288</v>
      </c>
      <c r="C13" s="8">
        <v>1</v>
      </c>
      <c r="D13" s="9">
        <v>99.99</v>
      </c>
      <c r="E13" s="8">
        <v>213549</v>
      </c>
      <c r="F13" s="7" t="s">
        <v>3600</v>
      </c>
      <c r="G13" s="10"/>
      <c r="H13" s="7" t="s">
        <v>3876</v>
      </c>
      <c r="I13" s="7" t="s">
        <v>2268</v>
      </c>
      <c r="J13" s="7" t="s">
        <v>3358</v>
      </c>
      <c r="K13" s="7" t="s">
        <v>3484</v>
      </c>
      <c r="L13" s="11" t="str">
        <f>HYPERLINK("http://slimages.macys.com/is/image/MCY/10276370 ")</f>
        <v xml:space="preserve">http://slimages.macys.com/is/image/MCY/10276370 </v>
      </c>
    </row>
    <row r="14" spans="1:12" ht="39.950000000000003" customHeight="1" x14ac:dyDescent="0.25">
      <c r="A14" s="6" t="s">
        <v>2289</v>
      </c>
      <c r="B14" s="7" t="s">
        <v>2290</v>
      </c>
      <c r="C14" s="8">
        <v>1</v>
      </c>
      <c r="D14" s="9">
        <v>99.99</v>
      </c>
      <c r="E14" s="8">
        <v>201843</v>
      </c>
      <c r="F14" s="7" t="s">
        <v>3384</v>
      </c>
      <c r="G14" s="10"/>
      <c r="H14" s="7" t="s">
        <v>3397</v>
      </c>
      <c r="I14" s="7" t="s">
        <v>3398</v>
      </c>
      <c r="J14" s="7" t="s">
        <v>3358</v>
      </c>
      <c r="K14" s="7" t="s">
        <v>3521</v>
      </c>
      <c r="L14" s="11" t="str">
        <f>HYPERLINK("http://slimages.macys.com/is/image/MCY/12829333 ")</f>
        <v xml:space="preserve">http://slimages.macys.com/is/image/MCY/12829333 </v>
      </c>
    </row>
    <row r="15" spans="1:12" ht="39.950000000000003" customHeight="1" x14ac:dyDescent="0.25">
      <c r="A15" s="6" t="s">
        <v>2291</v>
      </c>
      <c r="B15" s="7" t="s">
        <v>2292</v>
      </c>
      <c r="C15" s="8">
        <v>1</v>
      </c>
      <c r="D15" s="9">
        <v>120</v>
      </c>
      <c r="E15" s="8" t="s">
        <v>2293</v>
      </c>
      <c r="F15" s="7"/>
      <c r="G15" s="10"/>
      <c r="H15" s="7" t="s">
        <v>3412</v>
      </c>
      <c r="I15" s="7" t="s">
        <v>3969</v>
      </c>
      <c r="J15" s="7"/>
      <c r="K15" s="7"/>
      <c r="L15" s="11" t="str">
        <f>HYPERLINK("http://slimages.macys.com/is/image/MCY/17588721 ")</f>
        <v xml:space="preserve">http://slimages.macys.com/is/image/MCY/17588721 </v>
      </c>
    </row>
    <row r="16" spans="1:12" ht="39.950000000000003" customHeight="1" x14ac:dyDescent="0.25">
      <c r="A16" s="6" t="s">
        <v>2294</v>
      </c>
      <c r="B16" s="7" t="s">
        <v>2295</v>
      </c>
      <c r="C16" s="8">
        <v>1</v>
      </c>
      <c r="D16" s="9">
        <v>109.99</v>
      </c>
      <c r="E16" s="8" t="s">
        <v>2296</v>
      </c>
      <c r="F16" s="7" t="s">
        <v>3384</v>
      </c>
      <c r="G16" s="10"/>
      <c r="H16" s="7" t="s">
        <v>3412</v>
      </c>
      <c r="I16" s="7" t="s">
        <v>3436</v>
      </c>
      <c r="J16" s="7" t="s">
        <v>3358</v>
      </c>
      <c r="K16" s="7" t="s">
        <v>3390</v>
      </c>
      <c r="L16" s="11" t="str">
        <f>HYPERLINK("http://slimages.macys.com/is/image/MCY/15602452 ")</f>
        <v xml:space="preserve">http://slimages.macys.com/is/image/MCY/15602452 </v>
      </c>
    </row>
    <row r="17" spans="1:12" ht="39.950000000000003" customHeight="1" x14ac:dyDescent="0.25">
      <c r="A17" s="6" t="s">
        <v>2297</v>
      </c>
      <c r="B17" s="7" t="s">
        <v>2298</v>
      </c>
      <c r="C17" s="8">
        <v>1</v>
      </c>
      <c r="D17" s="9">
        <v>99.99</v>
      </c>
      <c r="E17" s="8">
        <v>22339322</v>
      </c>
      <c r="F17" s="7" t="s">
        <v>3514</v>
      </c>
      <c r="G17" s="10"/>
      <c r="H17" s="7" t="s">
        <v>3412</v>
      </c>
      <c r="I17" s="7" t="s">
        <v>3413</v>
      </c>
      <c r="J17" s="7" t="s">
        <v>3358</v>
      </c>
      <c r="K17" s="7" t="s">
        <v>3390</v>
      </c>
      <c r="L17" s="11" t="str">
        <f>HYPERLINK("http://slimages.macys.com/is/image/MCY/16688568 ")</f>
        <v xml:space="preserve">http://slimages.macys.com/is/image/MCY/16688568 </v>
      </c>
    </row>
    <row r="18" spans="1:12" ht="39.950000000000003" customHeight="1" x14ac:dyDescent="0.25">
      <c r="A18" s="6" t="s">
        <v>3019</v>
      </c>
      <c r="B18" s="7" t="s">
        <v>3020</v>
      </c>
      <c r="C18" s="8">
        <v>1</v>
      </c>
      <c r="D18" s="9">
        <v>79.989999999999995</v>
      </c>
      <c r="E18" s="8" t="s">
        <v>3021</v>
      </c>
      <c r="F18" s="7" t="s">
        <v>3384</v>
      </c>
      <c r="G18" s="10"/>
      <c r="H18" s="7" t="s">
        <v>3412</v>
      </c>
      <c r="I18" s="7" t="s">
        <v>3436</v>
      </c>
      <c r="J18" s="7" t="s">
        <v>3358</v>
      </c>
      <c r="K18" s="7" t="s">
        <v>3022</v>
      </c>
      <c r="L18" s="11" t="str">
        <f>HYPERLINK("http://slimages.macys.com/is/image/MCY/9188021 ")</f>
        <v xml:space="preserve">http://slimages.macys.com/is/image/MCY/9188021 </v>
      </c>
    </row>
    <row r="19" spans="1:12" ht="39.950000000000003" customHeight="1" x14ac:dyDescent="0.25">
      <c r="A19" s="6" t="s">
        <v>2299</v>
      </c>
      <c r="B19" s="7" t="s">
        <v>2300</v>
      </c>
      <c r="C19" s="8">
        <v>1</v>
      </c>
      <c r="D19" s="9">
        <v>124.99</v>
      </c>
      <c r="E19" s="8" t="s">
        <v>2301</v>
      </c>
      <c r="F19" s="7" t="s">
        <v>3363</v>
      </c>
      <c r="G19" s="10" t="s">
        <v>1427</v>
      </c>
      <c r="H19" s="7" t="s">
        <v>3365</v>
      </c>
      <c r="I19" s="7" t="s">
        <v>3366</v>
      </c>
      <c r="J19" s="7" t="s">
        <v>3358</v>
      </c>
      <c r="K19" s="7" t="s">
        <v>4138</v>
      </c>
      <c r="L19" s="11" t="str">
        <f>HYPERLINK("http://slimages.macys.com/is/image/MCY/8182285 ")</f>
        <v xml:space="preserve">http://slimages.macys.com/is/image/MCY/8182285 </v>
      </c>
    </row>
    <row r="20" spans="1:12" ht="39.950000000000003" customHeight="1" x14ac:dyDescent="0.25">
      <c r="A20" s="6" t="s">
        <v>2302</v>
      </c>
      <c r="B20" s="7" t="s">
        <v>2303</v>
      </c>
      <c r="C20" s="8">
        <v>1</v>
      </c>
      <c r="D20" s="9">
        <v>79.989999999999995</v>
      </c>
      <c r="E20" s="8">
        <v>100001554</v>
      </c>
      <c r="F20" s="7" t="s">
        <v>4021</v>
      </c>
      <c r="G20" s="10"/>
      <c r="H20" s="7" t="s">
        <v>3365</v>
      </c>
      <c r="I20" s="7" t="s">
        <v>2304</v>
      </c>
      <c r="J20" s="7" t="s">
        <v>3358</v>
      </c>
      <c r="K20" s="7" t="s">
        <v>2305</v>
      </c>
      <c r="L20" s="11" t="str">
        <f>HYPERLINK("http://slimages.macys.com/is/image/MCY/9021467 ")</f>
        <v xml:space="preserve">http://slimages.macys.com/is/image/MCY/9021467 </v>
      </c>
    </row>
    <row r="21" spans="1:12" ht="39.950000000000003" customHeight="1" x14ac:dyDescent="0.25">
      <c r="A21" s="6" t="s">
        <v>2870</v>
      </c>
      <c r="B21" s="7" t="s">
        <v>2871</v>
      </c>
      <c r="C21" s="8">
        <v>1</v>
      </c>
      <c r="D21" s="9">
        <v>79.989999999999995</v>
      </c>
      <c r="E21" s="8" t="s">
        <v>2872</v>
      </c>
      <c r="F21" s="7" t="s">
        <v>3650</v>
      </c>
      <c r="G21" s="10"/>
      <c r="H21" s="7" t="s">
        <v>3408</v>
      </c>
      <c r="I21" s="7" t="s">
        <v>4354</v>
      </c>
      <c r="J21" s="7"/>
      <c r="K21" s="7"/>
      <c r="L21" s="11" t="str">
        <f>HYPERLINK("http://slimages.macys.com/is/image/MCY/17997257 ")</f>
        <v xml:space="preserve">http://slimages.macys.com/is/image/MCY/17997257 </v>
      </c>
    </row>
    <row r="22" spans="1:12" ht="39.950000000000003" customHeight="1" x14ac:dyDescent="0.25">
      <c r="A22" s="6" t="s">
        <v>2306</v>
      </c>
      <c r="B22" s="7" t="s">
        <v>2307</v>
      </c>
      <c r="C22" s="8">
        <v>1</v>
      </c>
      <c r="D22" s="9">
        <v>59.99</v>
      </c>
      <c r="E22" s="8">
        <v>21477222</v>
      </c>
      <c r="F22" s="7" t="s">
        <v>3498</v>
      </c>
      <c r="G22" s="10"/>
      <c r="H22" s="7" t="s">
        <v>3412</v>
      </c>
      <c r="I22" s="7" t="s">
        <v>3413</v>
      </c>
      <c r="J22" s="7" t="s">
        <v>3358</v>
      </c>
      <c r="K22" s="7" t="s">
        <v>3390</v>
      </c>
      <c r="L22" s="11" t="str">
        <f>HYPERLINK("http://slimages.macys.com/is/image/MCY/15396155 ")</f>
        <v xml:space="preserve">http://slimages.macys.com/is/image/MCY/15396155 </v>
      </c>
    </row>
    <row r="23" spans="1:12" ht="39.950000000000003" customHeight="1" x14ac:dyDescent="0.25">
      <c r="A23" s="6" t="s">
        <v>2308</v>
      </c>
      <c r="B23" s="7" t="s">
        <v>2309</v>
      </c>
      <c r="C23" s="8">
        <v>1</v>
      </c>
      <c r="D23" s="9">
        <v>119.99</v>
      </c>
      <c r="E23" s="8" t="s">
        <v>2310</v>
      </c>
      <c r="F23" s="7" t="s">
        <v>3477</v>
      </c>
      <c r="G23" s="10"/>
      <c r="H23" s="7" t="s">
        <v>3658</v>
      </c>
      <c r="I23" s="7" t="s">
        <v>2690</v>
      </c>
      <c r="J23" s="7"/>
      <c r="K23" s="7"/>
      <c r="L23" s="11" t="str">
        <f>HYPERLINK("http://slimages.macys.com/is/image/MCY/957575 ")</f>
        <v xml:space="preserve">http://slimages.macys.com/is/image/MCY/957575 </v>
      </c>
    </row>
    <row r="24" spans="1:12" ht="39.950000000000003" customHeight="1" x14ac:dyDescent="0.25">
      <c r="A24" s="6" t="s">
        <v>2311</v>
      </c>
      <c r="B24" s="7" t="s">
        <v>2312</v>
      </c>
      <c r="C24" s="8">
        <v>2</v>
      </c>
      <c r="D24" s="9">
        <v>139.97999999999999</v>
      </c>
      <c r="E24" s="8" t="s">
        <v>2313</v>
      </c>
      <c r="F24" s="7" t="s">
        <v>3355</v>
      </c>
      <c r="G24" s="10"/>
      <c r="H24" s="7" t="s">
        <v>3365</v>
      </c>
      <c r="I24" s="7" t="s">
        <v>3558</v>
      </c>
      <c r="J24" s="7" t="s">
        <v>3358</v>
      </c>
      <c r="K24" s="7"/>
      <c r="L24" s="11" t="str">
        <f>HYPERLINK("http://slimages.macys.com/is/image/MCY/9621144 ")</f>
        <v xml:space="preserve">http://slimages.macys.com/is/image/MCY/9621144 </v>
      </c>
    </row>
    <row r="25" spans="1:12" ht="39.950000000000003" customHeight="1" x14ac:dyDescent="0.25">
      <c r="A25" s="6" t="s">
        <v>2314</v>
      </c>
      <c r="B25" s="7" t="s">
        <v>2315</v>
      </c>
      <c r="C25" s="8">
        <v>1</v>
      </c>
      <c r="D25" s="9">
        <v>49.99</v>
      </c>
      <c r="E25" s="8">
        <v>2000000036</v>
      </c>
      <c r="F25" s="7" t="s">
        <v>3477</v>
      </c>
      <c r="G25" s="10"/>
      <c r="H25" s="7" t="s">
        <v>3412</v>
      </c>
      <c r="I25" s="7" t="s">
        <v>3413</v>
      </c>
      <c r="J25" s="7"/>
      <c r="K25" s="7"/>
      <c r="L25" s="11" t="str">
        <f>HYPERLINK("http://slimages.macys.com/is/image/MCY/17814309 ")</f>
        <v xml:space="preserve">http://slimages.macys.com/is/image/MCY/17814309 </v>
      </c>
    </row>
    <row r="26" spans="1:12" ht="39.950000000000003" customHeight="1" x14ac:dyDescent="0.25">
      <c r="A26" s="6" t="s">
        <v>2316</v>
      </c>
      <c r="B26" s="7" t="s">
        <v>2317</v>
      </c>
      <c r="C26" s="8">
        <v>1</v>
      </c>
      <c r="D26" s="9">
        <v>39.99</v>
      </c>
      <c r="E26" s="8" t="s">
        <v>2318</v>
      </c>
      <c r="F26" s="7" t="s">
        <v>4049</v>
      </c>
      <c r="G26" s="10"/>
      <c r="H26" s="7" t="s">
        <v>3526</v>
      </c>
      <c r="I26" s="7" t="s">
        <v>2319</v>
      </c>
      <c r="J26" s="7"/>
      <c r="K26" s="7"/>
      <c r="L26" s="11" t="str">
        <f>HYPERLINK("http://slimages.macys.com/is/image/MCY/18222657 ")</f>
        <v xml:space="preserve">http://slimages.macys.com/is/image/MCY/18222657 </v>
      </c>
    </row>
    <row r="27" spans="1:12" ht="39.950000000000003" customHeight="1" x14ac:dyDescent="0.25">
      <c r="A27" s="6" t="s">
        <v>2320</v>
      </c>
      <c r="B27" s="7" t="s">
        <v>2321</v>
      </c>
      <c r="C27" s="8">
        <v>1</v>
      </c>
      <c r="D27" s="9">
        <v>39.99</v>
      </c>
      <c r="E27" s="8" t="s">
        <v>2322</v>
      </c>
      <c r="F27" s="7" t="s">
        <v>3490</v>
      </c>
      <c r="G27" s="10"/>
      <c r="H27" s="7" t="s">
        <v>3526</v>
      </c>
      <c r="I27" s="7" t="s">
        <v>3865</v>
      </c>
      <c r="J27" s="7"/>
      <c r="K27" s="7"/>
      <c r="L27" s="11" t="str">
        <f>HYPERLINK("http://slimages.macys.com/is/image/MCY/16524334 ")</f>
        <v xml:space="preserve">http://slimages.macys.com/is/image/MCY/16524334 </v>
      </c>
    </row>
    <row r="28" spans="1:12" ht="39.950000000000003" customHeight="1" x14ac:dyDescent="0.25">
      <c r="A28" s="6" t="s">
        <v>2323</v>
      </c>
      <c r="B28" s="7" t="s">
        <v>2324</v>
      </c>
      <c r="C28" s="8">
        <v>1</v>
      </c>
      <c r="D28" s="9">
        <v>49.99</v>
      </c>
      <c r="E28" s="8" t="s">
        <v>2325</v>
      </c>
      <c r="F28" s="7" t="s">
        <v>3600</v>
      </c>
      <c r="G28" s="10"/>
      <c r="H28" s="7" t="s">
        <v>3601</v>
      </c>
      <c r="I28" s="7" t="s">
        <v>1976</v>
      </c>
      <c r="J28" s="7" t="s">
        <v>3358</v>
      </c>
      <c r="K28" s="7"/>
      <c r="L28" s="11" t="str">
        <f>HYPERLINK("http://slimages.macys.com/is/image/MCY/16328310 ")</f>
        <v xml:space="preserve">http://slimages.macys.com/is/image/MCY/16328310 </v>
      </c>
    </row>
    <row r="29" spans="1:12" ht="39.950000000000003" customHeight="1" x14ac:dyDescent="0.25">
      <c r="A29" s="6" t="s">
        <v>2326</v>
      </c>
      <c r="B29" s="7" t="s">
        <v>2327</v>
      </c>
      <c r="C29" s="8">
        <v>1</v>
      </c>
      <c r="D29" s="9">
        <v>49.99</v>
      </c>
      <c r="E29" s="8" t="s">
        <v>2328</v>
      </c>
      <c r="F29" s="7" t="s">
        <v>3477</v>
      </c>
      <c r="G29" s="10"/>
      <c r="H29" s="7" t="s">
        <v>3412</v>
      </c>
      <c r="I29" s="7" t="s">
        <v>3413</v>
      </c>
      <c r="J29" s="7" t="s">
        <v>3358</v>
      </c>
      <c r="K29" s="7" t="s">
        <v>3390</v>
      </c>
      <c r="L29" s="11" t="str">
        <f>HYPERLINK("http://slimages.macys.com/is/image/MCY/8347198 ")</f>
        <v xml:space="preserve">http://slimages.macys.com/is/image/MCY/8347198 </v>
      </c>
    </row>
    <row r="30" spans="1:12" ht="39.950000000000003" customHeight="1" x14ac:dyDescent="0.25">
      <c r="A30" s="6" t="s">
        <v>2329</v>
      </c>
      <c r="B30" s="7" t="s">
        <v>2330</v>
      </c>
      <c r="C30" s="8">
        <v>1</v>
      </c>
      <c r="D30" s="9">
        <v>79.989999999999995</v>
      </c>
      <c r="E30" s="8" t="s">
        <v>2331</v>
      </c>
      <c r="F30" s="7" t="s">
        <v>3363</v>
      </c>
      <c r="G30" s="10"/>
      <c r="H30" s="7" t="s">
        <v>3365</v>
      </c>
      <c r="I30" s="7" t="s">
        <v>3554</v>
      </c>
      <c r="J30" s="7" t="s">
        <v>3358</v>
      </c>
      <c r="K30" s="7"/>
      <c r="L30" s="11" t="str">
        <f>HYPERLINK("http://slimages.macys.com/is/image/MCY/11640052 ")</f>
        <v xml:space="preserve">http://slimages.macys.com/is/image/MCY/11640052 </v>
      </c>
    </row>
    <row r="31" spans="1:12" ht="39.950000000000003" customHeight="1" x14ac:dyDescent="0.25">
      <c r="A31" s="6" t="s">
        <v>2332</v>
      </c>
      <c r="B31" s="7" t="s">
        <v>2333</v>
      </c>
      <c r="C31" s="8">
        <v>1</v>
      </c>
      <c r="D31" s="9">
        <v>39.99</v>
      </c>
      <c r="E31" s="8" t="s">
        <v>2334</v>
      </c>
      <c r="F31" s="7" t="s">
        <v>3553</v>
      </c>
      <c r="G31" s="10" t="s">
        <v>3893</v>
      </c>
      <c r="H31" s="7" t="s">
        <v>3418</v>
      </c>
      <c r="I31" s="7" t="s">
        <v>2335</v>
      </c>
      <c r="J31" s="7" t="s">
        <v>3358</v>
      </c>
      <c r="K31" s="7"/>
      <c r="L31" s="11" t="str">
        <f>HYPERLINK("http://slimages.macys.com/is/image/MCY/9109952 ")</f>
        <v xml:space="preserve">http://slimages.macys.com/is/image/MCY/9109952 </v>
      </c>
    </row>
    <row r="32" spans="1:12" ht="39.950000000000003" customHeight="1" x14ac:dyDescent="0.25">
      <c r="A32" s="6" t="s">
        <v>3882</v>
      </c>
      <c r="B32" s="7" t="s">
        <v>3883</v>
      </c>
      <c r="C32" s="8">
        <v>1</v>
      </c>
      <c r="D32" s="9">
        <v>79.989999999999995</v>
      </c>
      <c r="E32" s="8" t="s">
        <v>3884</v>
      </c>
      <c r="F32" s="7" t="s">
        <v>3363</v>
      </c>
      <c r="G32" s="10"/>
      <c r="H32" s="7" t="s">
        <v>3365</v>
      </c>
      <c r="I32" s="7" t="s">
        <v>3554</v>
      </c>
      <c r="J32" s="7" t="s">
        <v>3358</v>
      </c>
      <c r="K32" s="7" t="s">
        <v>3885</v>
      </c>
      <c r="L32" s="11" t="str">
        <f>HYPERLINK("http://slimages.macys.com/is/image/MCY/16381700 ")</f>
        <v xml:space="preserve">http://slimages.macys.com/is/image/MCY/16381700 </v>
      </c>
    </row>
    <row r="33" spans="1:12" ht="39.950000000000003" customHeight="1" x14ac:dyDescent="0.25">
      <c r="A33" s="6" t="s">
        <v>2336</v>
      </c>
      <c r="B33" s="7" t="s">
        <v>2337</v>
      </c>
      <c r="C33" s="8">
        <v>1</v>
      </c>
      <c r="D33" s="9">
        <v>34.99</v>
      </c>
      <c r="E33" s="8" t="s">
        <v>2338</v>
      </c>
      <c r="F33" s="7" t="s">
        <v>3384</v>
      </c>
      <c r="G33" s="10"/>
      <c r="H33" s="7" t="s">
        <v>3526</v>
      </c>
      <c r="I33" s="7" t="s">
        <v>3900</v>
      </c>
      <c r="J33" s="7" t="s">
        <v>3358</v>
      </c>
      <c r="K33" s="7" t="s">
        <v>3901</v>
      </c>
      <c r="L33" s="11" t="str">
        <f>HYPERLINK("http://slimages.macys.com/is/image/MCY/13793165 ")</f>
        <v xml:space="preserve">http://slimages.macys.com/is/image/MCY/13793165 </v>
      </c>
    </row>
    <row r="34" spans="1:12" ht="39.950000000000003" customHeight="1" x14ac:dyDescent="0.25">
      <c r="A34" s="6" t="s">
        <v>2339</v>
      </c>
      <c r="B34" s="7" t="s">
        <v>2340</v>
      </c>
      <c r="C34" s="8">
        <v>1</v>
      </c>
      <c r="D34" s="9">
        <v>49.99</v>
      </c>
      <c r="E34" s="8">
        <v>22243022</v>
      </c>
      <c r="F34" s="7" t="s">
        <v>3937</v>
      </c>
      <c r="G34" s="10"/>
      <c r="H34" s="7" t="s">
        <v>3412</v>
      </c>
      <c r="I34" s="7" t="s">
        <v>3413</v>
      </c>
      <c r="J34" s="7" t="s">
        <v>3358</v>
      </c>
      <c r="K34" s="7" t="s">
        <v>3390</v>
      </c>
      <c r="L34" s="11" t="str">
        <f>HYPERLINK("http://slimages.macys.com/is/image/MCY/16688639 ")</f>
        <v xml:space="preserve">http://slimages.macys.com/is/image/MCY/16688639 </v>
      </c>
    </row>
    <row r="35" spans="1:12" ht="39.950000000000003" customHeight="1" x14ac:dyDescent="0.25">
      <c r="A35" s="6" t="s">
        <v>2341</v>
      </c>
      <c r="B35" s="7" t="s">
        <v>2342</v>
      </c>
      <c r="C35" s="8">
        <v>1</v>
      </c>
      <c r="D35" s="9">
        <v>39.99</v>
      </c>
      <c r="E35" s="8">
        <v>22214238</v>
      </c>
      <c r="F35" s="7" t="s">
        <v>3706</v>
      </c>
      <c r="G35" s="10"/>
      <c r="H35" s="7" t="s">
        <v>3526</v>
      </c>
      <c r="I35" s="7" t="s">
        <v>3413</v>
      </c>
      <c r="J35" s="7"/>
      <c r="K35" s="7"/>
      <c r="L35" s="11" t="str">
        <f>HYPERLINK("http://slimages.macys.com/is/image/MCY/17177962 ")</f>
        <v xml:space="preserve">http://slimages.macys.com/is/image/MCY/17177962 </v>
      </c>
    </row>
    <row r="36" spans="1:12" ht="39.950000000000003" customHeight="1" x14ac:dyDescent="0.25">
      <c r="A36" s="6" t="s">
        <v>2343</v>
      </c>
      <c r="B36" s="7" t="s">
        <v>2344</v>
      </c>
      <c r="C36" s="8">
        <v>1</v>
      </c>
      <c r="D36" s="9">
        <v>37.99</v>
      </c>
      <c r="E36" s="8" t="s">
        <v>2345</v>
      </c>
      <c r="F36" s="7" t="s">
        <v>2663</v>
      </c>
      <c r="G36" s="10"/>
      <c r="H36" s="7" t="s">
        <v>3492</v>
      </c>
      <c r="I36" s="7" t="s">
        <v>2204</v>
      </c>
      <c r="J36" s="7" t="s">
        <v>3358</v>
      </c>
      <c r="K36" s="7" t="s">
        <v>3390</v>
      </c>
      <c r="L36" s="11" t="str">
        <f>HYPERLINK("http://slimages.macys.com/is/image/MCY/9168183 ")</f>
        <v xml:space="preserve">http://slimages.macys.com/is/image/MCY/9168183 </v>
      </c>
    </row>
    <row r="37" spans="1:12" ht="39.950000000000003" customHeight="1" x14ac:dyDescent="0.25">
      <c r="A37" s="6" t="s">
        <v>2346</v>
      </c>
      <c r="B37" s="7" t="s">
        <v>2347</v>
      </c>
      <c r="C37" s="8">
        <v>1</v>
      </c>
      <c r="D37" s="9">
        <v>69.989999999999995</v>
      </c>
      <c r="E37" s="8" t="s">
        <v>2348</v>
      </c>
      <c r="F37" s="7" t="s">
        <v>3363</v>
      </c>
      <c r="G37" s="10"/>
      <c r="H37" s="7" t="s">
        <v>3365</v>
      </c>
      <c r="I37" s="7" t="s">
        <v>3558</v>
      </c>
      <c r="J37" s="7" t="s">
        <v>3358</v>
      </c>
      <c r="K37" s="7" t="s">
        <v>2349</v>
      </c>
      <c r="L37" s="11" t="str">
        <f>HYPERLINK("http://slimages.macys.com/is/image/MCY/9621143 ")</f>
        <v xml:space="preserve">http://slimages.macys.com/is/image/MCY/9621143 </v>
      </c>
    </row>
    <row r="38" spans="1:12" ht="39.950000000000003" customHeight="1" x14ac:dyDescent="0.25">
      <c r="A38" s="6" t="s">
        <v>2350</v>
      </c>
      <c r="B38" s="7" t="s">
        <v>2351</v>
      </c>
      <c r="C38" s="8">
        <v>1</v>
      </c>
      <c r="D38" s="9">
        <v>79.989999999999995</v>
      </c>
      <c r="E38" s="8" t="s">
        <v>2352</v>
      </c>
      <c r="F38" s="7" t="s">
        <v>3802</v>
      </c>
      <c r="G38" s="10"/>
      <c r="H38" s="7" t="s">
        <v>3365</v>
      </c>
      <c r="I38" s="7" t="s">
        <v>2522</v>
      </c>
      <c r="J38" s="7" t="s">
        <v>3358</v>
      </c>
      <c r="K38" s="7" t="s">
        <v>2353</v>
      </c>
      <c r="L38" s="11" t="str">
        <f>HYPERLINK("http://slimages.macys.com/is/image/MCY/3518083 ")</f>
        <v xml:space="preserve">http://slimages.macys.com/is/image/MCY/3518083 </v>
      </c>
    </row>
    <row r="39" spans="1:12" ht="39.950000000000003" customHeight="1" x14ac:dyDescent="0.25">
      <c r="A39" s="6" t="s">
        <v>2531</v>
      </c>
      <c r="B39" s="7" t="s">
        <v>2532</v>
      </c>
      <c r="C39" s="8">
        <v>2</v>
      </c>
      <c r="D39" s="9">
        <v>109.98</v>
      </c>
      <c r="E39" s="8">
        <v>130418</v>
      </c>
      <c r="F39" s="7" t="s">
        <v>3650</v>
      </c>
      <c r="G39" s="10" t="s">
        <v>3364</v>
      </c>
      <c r="H39" s="7" t="s">
        <v>3422</v>
      </c>
      <c r="I39" s="7" t="s">
        <v>3423</v>
      </c>
      <c r="J39" s="7" t="s">
        <v>3358</v>
      </c>
      <c r="K39" s="7" t="s">
        <v>3390</v>
      </c>
      <c r="L39" s="11" t="str">
        <f>HYPERLINK("http://slimages.macys.com/is/image/MCY/15716697 ")</f>
        <v xml:space="preserve">http://slimages.macys.com/is/image/MCY/15716697 </v>
      </c>
    </row>
    <row r="40" spans="1:12" ht="39.950000000000003" customHeight="1" x14ac:dyDescent="0.25">
      <c r="A40" s="6" t="s">
        <v>2354</v>
      </c>
      <c r="B40" s="7" t="s">
        <v>2355</v>
      </c>
      <c r="C40" s="8">
        <v>1</v>
      </c>
      <c r="D40" s="9">
        <v>54.99</v>
      </c>
      <c r="E40" s="8">
        <v>130406</v>
      </c>
      <c r="F40" s="7" t="s">
        <v>4219</v>
      </c>
      <c r="G40" s="10" t="s">
        <v>3364</v>
      </c>
      <c r="H40" s="7" t="s">
        <v>3422</v>
      </c>
      <c r="I40" s="7" t="s">
        <v>3423</v>
      </c>
      <c r="J40" s="7" t="s">
        <v>3358</v>
      </c>
      <c r="K40" s="7" t="s">
        <v>3390</v>
      </c>
      <c r="L40" s="11" t="str">
        <f>HYPERLINK("http://slimages.macys.com/is/image/MCY/15716697 ")</f>
        <v xml:space="preserve">http://slimages.macys.com/is/image/MCY/15716697 </v>
      </c>
    </row>
    <row r="41" spans="1:12" ht="39.950000000000003" customHeight="1" x14ac:dyDescent="0.25">
      <c r="A41" s="6" t="s">
        <v>2356</v>
      </c>
      <c r="B41" s="7" t="s">
        <v>2357</v>
      </c>
      <c r="C41" s="8">
        <v>1</v>
      </c>
      <c r="D41" s="9">
        <v>39.99</v>
      </c>
      <c r="E41" s="8">
        <v>8610</v>
      </c>
      <c r="F41" s="7" t="s">
        <v>3363</v>
      </c>
      <c r="G41" s="10" t="s">
        <v>3460</v>
      </c>
      <c r="H41" s="7" t="s">
        <v>3388</v>
      </c>
      <c r="I41" s="7" t="s">
        <v>2358</v>
      </c>
      <c r="J41" s="7"/>
      <c r="K41" s="7"/>
      <c r="L41" s="11" t="str">
        <f>HYPERLINK("http://slimages.macys.com/is/image/MCY/17673703 ")</f>
        <v xml:space="preserve">http://slimages.macys.com/is/image/MCY/17673703 </v>
      </c>
    </row>
    <row r="42" spans="1:12" ht="39.950000000000003" customHeight="1" x14ac:dyDescent="0.25">
      <c r="A42" s="6" t="s">
        <v>2359</v>
      </c>
      <c r="B42" s="7" t="s">
        <v>2360</v>
      </c>
      <c r="C42" s="8">
        <v>1</v>
      </c>
      <c r="D42" s="9">
        <v>39.99</v>
      </c>
      <c r="E42" s="8" t="s">
        <v>2361</v>
      </c>
      <c r="F42" s="7" t="s">
        <v>3363</v>
      </c>
      <c r="G42" s="10"/>
      <c r="H42" s="7" t="s">
        <v>3427</v>
      </c>
      <c r="I42" s="7" t="s">
        <v>2362</v>
      </c>
      <c r="J42" s="7" t="s">
        <v>3358</v>
      </c>
      <c r="K42" s="7" t="s">
        <v>2363</v>
      </c>
      <c r="L42" s="11" t="str">
        <f>HYPERLINK("http://slimages.macys.com/is/image/MCY/13049396 ")</f>
        <v xml:space="preserve">http://slimages.macys.com/is/image/MCY/13049396 </v>
      </c>
    </row>
    <row r="43" spans="1:12" ht="39.950000000000003" customHeight="1" x14ac:dyDescent="0.25">
      <c r="A43" s="6" t="s">
        <v>2364</v>
      </c>
      <c r="B43" s="7" t="s">
        <v>2365</v>
      </c>
      <c r="C43" s="8">
        <v>2</v>
      </c>
      <c r="D43" s="9">
        <v>69.98</v>
      </c>
      <c r="E43" s="8">
        <v>67874</v>
      </c>
      <c r="F43" s="7" t="s">
        <v>3396</v>
      </c>
      <c r="G43" s="10"/>
      <c r="H43" s="7" t="s">
        <v>3492</v>
      </c>
      <c r="I43" s="7" t="s">
        <v>2204</v>
      </c>
      <c r="J43" s="7" t="s">
        <v>3358</v>
      </c>
      <c r="K43" s="7" t="s">
        <v>3390</v>
      </c>
      <c r="L43" s="11" t="str">
        <f>HYPERLINK("http://slimages.macys.com/is/image/MCY/9170114 ")</f>
        <v xml:space="preserve">http://slimages.macys.com/is/image/MCY/9170114 </v>
      </c>
    </row>
    <row r="44" spans="1:12" ht="39.950000000000003" customHeight="1" x14ac:dyDescent="0.25">
      <c r="A44" s="6" t="s">
        <v>2366</v>
      </c>
      <c r="B44" s="7" t="s">
        <v>345</v>
      </c>
      <c r="C44" s="8">
        <v>1</v>
      </c>
      <c r="D44" s="9">
        <v>29.99</v>
      </c>
      <c r="E44" s="8">
        <v>935158</v>
      </c>
      <c r="F44" s="7" t="s">
        <v>3673</v>
      </c>
      <c r="G44" s="10"/>
      <c r="H44" s="7" t="s">
        <v>3515</v>
      </c>
      <c r="I44" s="7" t="s">
        <v>346</v>
      </c>
      <c r="J44" s="7" t="s">
        <v>3358</v>
      </c>
      <c r="K44" s="7" t="s">
        <v>3390</v>
      </c>
      <c r="L44" s="11" t="str">
        <f>HYPERLINK("http://slimages.macys.com/is/image/MCY/15254686 ")</f>
        <v xml:space="preserve">http://slimages.macys.com/is/image/MCY/15254686 </v>
      </c>
    </row>
    <row r="45" spans="1:12" ht="39.950000000000003" customHeight="1" x14ac:dyDescent="0.25">
      <c r="A45" s="6" t="s">
        <v>4132</v>
      </c>
      <c r="B45" s="7" t="s">
        <v>4133</v>
      </c>
      <c r="C45" s="8">
        <v>1</v>
      </c>
      <c r="D45" s="9">
        <v>39.99</v>
      </c>
      <c r="E45" s="8">
        <v>130118</v>
      </c>
      <c r="F45" s="7" t="s">
        <v>3363</v>
      </c>
      <c r="G45" s="10"/>
      <c r="H45" s="7" t="s">
        <v>3422</v>
      </c>
      <c r="I45" s="7" t="s">
        <v>3423</v>
      </c>
      <c r="J45" s="7" t="s">
        <v>3358</v>
      </c>
      <c r="K45" s="7" t="s">
        <v>4134</v>
      </c>
      <c r="L45" s="11" t="str">
        <f>HYPERLINK("http://slimages.macys.com/is/image/MCY/3895749 ")</f>
        <v xml:space="preserve">http://slimages.macys.com/is/image/MCY/3895749 </v>
      </c>
    </row>
    <row r="46" spans="1:12" ht="39.950000000000003" customHeight="1" x14ac:dyDescent="0.25">
      <c r="A46" s="6" t="s">
        <v>347</v>
      </c>
      <c r="B46" s="7" t="s">
        <v>348</v>
      </c>
      <c r="C46" s="8">
        <v>1</v>
      </c>
      <c r="D46" s="9">
        <v>23.99</v>
      </c>
      <c r="E46" s="8" t="s">
        <v>349</v>
      </c>
      <c r="F46" s="7" t="s">
        <v>3706</v>
      </c>
      <c r="G46" s="10"/>
      <c r="H46" s="7" t="s">
        <v>3526</v>
      </c>
      <c r="I46" s="7" t="s">
        <v>3900</v>
      </c>
      <c r="J46" s="7" t="s">
        <v>3358</v>
      </c>
      <c r="K46" s="7" t="s">
        <v>3901</v>
      </c>
      <c r="L46" s="11" t="str">
        <f>HYPERLINK("http://slimages.macys.com/is/image/MCY/12476113 ")</f>
        <v xml:space="preserve">http://slimages.macys.com/is/image/MCY/12476113 </v>
      </c>
    </row>
    <row r="47" spans="1:12" ht="39.950000000000003" customHeight="1" x14ac:dyDescent="0.25">
      <c r="A47" s="6" t="s">
        <v>350</v>
      </c>
      <c r="B47" s="7" t="s">
        <v>351</v>
      </c>
      <c r="C47" s="8">
        <v>1</v>
      </c>
      <c r="D47" s="9">
        <v>19.989999999999998</v>
      </c>
      <c r="E47" s="8" t="s">
        <v>352</v>
      </c>
      <c r="F47" s="7" t="s">
        <v>3992</v>
      </c>
      <c r="G47" s="10" t="s">
        <v>2187</v>
      </c>
      <c r="H47" s="7" t="s">
        <v>3431</v>
      </c>
      <c r="I47" s="7" t="s">
        <v>3432</v>
      </c>
      <c r="J47" s="7" t="s">
        <v>3358</v>
      </c>
      <c r="K47" s="7" t="s">
        <v>3521</v>
      </c>
      <c r="L47" s="11" t="str">
        <f>HYPERLINK("http://slimages.macys.com/is/image/MCY/9513121 ")</f>
        <v xml:space="preserve">http://slimages.macys.com/is/image/MCY/9513121 </v>
      </c>
    </row>
    <row r="48" spans="1:12" ht="39.950000000000003" customHeight="1" x14ac:dyDescent="0.25">
      <c r="A48" s="6" t="s">
        <v>353</v>
      </c>
      <c r="B48" s="7" t="s">
        <v>354</v>
      </c>
      <c r="C48" s="8">
        <v>1</v>
      </c>
      <c r="D48" s="9">
        <v>24.99</v>
      </c>
      <c r="E48" s="8" t="s">
        <v>355</v>
      </c>
      <c r="F48" s="7" t="s">
        <v>3498</v>
      </c>
      <c r="G48" s="10"/>
      <c r="H48" s="7" t="s">
        <v>3431</v>
      </c>
      <c r="I48" s="7" t="s">
        <v>356</v>
      </c>
      <c r="J48" s="7" t="s">
        <v>3358</v>
      </c>
      <c r="K48" s="7" t="s">
        <v>3390</v>
      </c>
      <c r="L48" s="11" t="str">
        <f>HYPERLINK("http://slimages.macys.com/is/image/MCY/14718151 ")</f>
        <v xml:space="preserve">http://slimages.macys.com/is/image/MCY/14718151 </v>
      </c>
    </row>
    <row r="49" spans="1:12" ht="39.950000000000003" customHeight="1" x14ac:dyDescent="0.25">
      <c r="A49" s="6" t="s">
        <v>357</v>
      </c>
      <c r="B49" s="7" t="s">
        <v>358</v>
      </c>
      <c r="C49" s="8">
        <v>1</v>
      </c>
      <c r="D49" s="9">
        <v>24.99</v>
      </c>
      <c r="E49" s="8" t="s">
        <v>359</v>
      </c>
      <c r="F49" s="7" t="s">
        <v>3363</v>
      </c>
      <c r="G49" s="10" t="s">
        <v>1706</v>
      </c>
      <c r="H49" s="7" t="s">
        <v>3427</v>
      </c>
      <c r="I49" s="7" t="s">
        <v>3682</v>
      </c>
      <c r="J49" s="7" t="s">
        <v>3358</v>
      </c>
      <c r="K49" s="7" t="s">
        <v>360</v>
      </c>
      <c r="L49" s="11" t="str">
        <f>HYPERLINK("http://slimages.macys.com/is/image/MCY/3663850 ")</f>
        <v xml:space="preserve">http://slimages.macys.com/is/image/MCY/3663850 </v>
      </c>
    </row>
    <row r="50" spans="1:12" ht="39.950000000000003" customHeight="1" x14ac:dyDescent="0.25">
      <c r="A50" s="6" t="s">
        <v>361</v>
      </c>
      <c r="B50" s="7" t="s">
        <v>362</v>
      </c>
      <c r="C50" s="8">
        <v>1</v>
      </c>
      <c r="D50" s="9">
        <v>20.99</v>
      </c>
      <c r="E50" s="8" t="s">
        <v>363</v>
      </c>
      <c r="F50" s="7" t="s">
        <v>3481</v>
      </c>
      <c r="G50" s="10"/>
      <c r="H50" s="7" t="s">
        <v>3515</v>
      </c>
      <c r="I50" s="7" t="s">
        <v>4231</v>
      </c>
      <c r="J50" s="7"/>
      <c r="K50" s="7"/>
      <c r="L50" s="11" t="str">
        <f>HYPERLINK("http://slimages.macys.com/is/image/MCY/17557482 ")</f>
        <v xml:space="preserve">http://slimages.macys.com/is/image/MCY/17557482 </v>
      </c>
    </row>
    <row r="51" spans="1:12" ht="39.950000000000003" customHeight="1" x14ac:dyDescent="0.25">
      <c r="A51" s="6" t="s">
        <v>364</v>
      </c>
      <c r="B51" s="7" t="s">
        <v>365</v>
      </c>
      <c r="C51" s="8">
        <v>1</v>
      </c>
      <c r="D51" s="9">
        <v>18.989999999999998</v>
      </c>
      <c r="E51" s="8">
        <v>51931</v>
      </c>
      <c r="F51" s="7" t="s">
        <v>3525</v>
      </c>
      <c r="G51" s="10" t="s">
        <v>2207</v>
      </c>
      <c r="H51" s="7" t="s">
        <v>3492</v>
      </c>
      <c r="I51" s="7" t="s">
        <v>3636</v>
      </c>
      <c r="J51" s="7" t="s">
        <v>3358</v>
      </c>
      <c r="K51" s="7"/>
      <c r="L51" s="11" t="str">
        <f>HYPERLINK("http://slimages.macys.com/is/image/MCY/9057926 ")</f>
        <v xml:space="preserve">http://slimages.macys.com/is/image/MCY/9057926 </v>
      </c>
    </row>
    <row r="52" spans="1:12" ht="39.950000000000003" customHeight="1" x14ac:dyDescent="0.25">
      <c r="A52" s="6" t="s">
        <v>366</v>
      </c>
      <c r="B52" s="7" t="s">
        <v>367</v>
      </c>
      <c r="C52" s="8">
        <v>1</v>
      </c>
      <c r="D52" s="9">
        <v>19.989999999999998</v>
      </c>
      <c r="E52" s="8">
        <v>57015</v>
      </c>
      <c r="F52" s="7" t="s">
        <v>3355</v>
      </c>
      <c r="G52" s="10"/>
      <c r="H52" s="7" t="s">
        <v>3492</v>
      </c>
      <c r="I52" s="7" t="s">
        <v>3636</v>
      </c>
      <c r="J52" s="7" t="s">
        <v>3358</v>
      </c>
      <c r="K52" s="7" t="s">
        <v>3390</v>
      </c>
      <c r="L52" s="11" t="str">
        <f>HYPERLINK("http://slimages.macys.com/is/image/MCY/16061501 ")</f>
        <v xml:space="preserve">http://slimages.macys.com/is/image/MCY/16061501 </v>
      </c>
    </row>
    <row r="53" spans="1:12" ht="39.950000000000003" customHeight="1" x14ac:dyDescent="0.25">
      <c r="A53" s="6" t="s">
        <v>368</v>
      </c>
      <c r="B53" s="7" t="s">
        <v>369</v>
      </c>
      <c r="C53" s="8">
        <v>1</v>
      </c>
      <c r="D53" s="9">
        <v>19.989999999999998</v>
      </c>
      <c r="E53" s="8" t="s">
        <v>370</v>
      </c>
      <c r="F53" s="7" t="s">
        <v>3363</v>
      </c>
      <c r="G53" s="10"/>
      <c r="H53" s="7" t="s">
        <v>3431</v>
      </c>
      <c r="I53" s="7" t="s">
        <v>3432</v>
      </c>
      <c r="J53" s="7" t="s">
        <v>3358</v>
      </c>
      <c r="K53" s="7"/>
      <c r="L53" s="11" t="str">
        <f>HYPERLINK("http://slimages.macys.com/is/image/MCY/9513127 ")</f>
        <v xml:space="preserve">http://slimages.macys.com/is/image/MCY/9513127 </v>
      </c>
    </row>
    <row r="54" spans="1:12" ht="39.950000000000003" customHeight="1" x14ac:dyDescent="0.25">
      <c r="A54" s="6" t="s">
        <v>371</v>
      </c>
      <c r="B54" s="7" t="s">
        <v>372</v>
      </c>
      <c r="C54" s="8">
        <v>5</v>
      </c>
      <c r="D54" s="9">
        <v>99.95</v>
      </c>
      <c r="E54" s="8">
        <v>50712</v>
      </c>
      <c r="F54" s="7" t="s">
        <v>3531</v>
      </c>
      <c r="G54" s="10" t="s">
        <v>2207</v>
      </c>
      <c r="H54" s="7" t="s">
        <v>3492</v>
      </c>
      <c r="I54" s="7" t="s">
        <v>3636</v>
      </c>
      <c r="J54" s="7" t="s">
        <v>3358</v>
      </c>
      <c r="K54" s="7"/>
      <c r="L54" s="11" t="str">
        <f>HYPERLINK("http://slimages.macys.com/is/image/MCY/9972657 ")</f>
        <v xml:space="preserve">http://slimages.macys.com/is/image/MCY/9972657 </v>
      </c>
    </row>
    <row r="55" spans="1:12" ht="39.950000000000003" customHeight="1" x14ac:dyDescent="0.25">
      <c r="A55" s="6" t="s">
        <v>373</v>
      </c>
      <c r="B55" s="7" t="s">
        <v>374</v>
      </c>
      <c r="C55" s="8">
        <v>2</v>
      </c>
      <c r="D55" s="9">
        <v>49.98</v>
      </c>
      <c r="E55" s="8" t="s">
        <v>375</v>
      </c>
      <c r="F55" s="7" t="s">
        <v>3503</v>
      </c>
      <c r="G55" s="10"/>
      <c r="H55" s="7" t="s">
        <v>3492</v>
      </c>
      <c r="I55" s="7" t="s">
        <v>2583</v>
      </c>
      <c r="J55" s="7" t="s">
        <v>3358</v>
      </c>
      <c r="K55" s="7" t="s">
        <v>2584</v>
      </c>
      <c r="L55" s="11" t="str">
        <f>HYPERLINK("http://slimages.macys.com/is/image/MCY/11461488 ")</f>
        <v xml:space="preserve">http://slimages.macys.com/is/image/MCY/11461488 </v>
      </c>
    </row>
    <row r="56" spans="1:12" ht="39.950000000000003" customHeight="1" x14ac:dyDescent="0.25">
      <c r="A56" s="6" t="s">
        <v>376</v>
      </c>
      <c r="B56" s="7" t="s">
        <v>377</v>
      </c>
      <c r="C56" s="8">
        <v>1</v>
      </c>
      <c r="D56" s="9">
        <v>39.99</v>
      </c>
      <c r="E56" s="8" t="s">
        <v>378</v>
      </c>
      <c r="F56" s="7" t="s">
        <v>1506</v>
      </c>
      <c r="G56" s="10"/>
      <c r="H56" s="7" t="s">
        <v>3658</v>
      </c>
      <c r="I56" s="7" t="s">
        <v>3659</v>
      </c>
      <c r="J56" s="7" t="s">
        <v>3751</v>
      </c>
      <c r="K56" s="7" t="s">
        <v>3582</v>
      </c>
      <c r="L56" s="11" t="str">
        <f>HYPERLINK("http://slimages.macys.com/is/image/MCY/8096683 ")</f>
        <v xml:space="preserve">http://slimages.macys.com/is/image/MCY/8096683 </v>
      </c>
    </row>
    <row r="57" spans="1:12" ht="39.950000000000003" customHeight="1" x14ac:dyDescent="0.25">
      <c r="A57" s="6" t="s">
        <v>379</v>
      </c>
      <c r="B57" s="7" t="s">
        <v>380</v>
      </c>
      <c r="C57" s="8">
        <v>1</v>
      </c>
      <c r="D57" s="9">
        <v>29.99</v>
      </c>
      <c r="E57" s="8" t="s">
        <v>381</v>
      </c>
      <c r="F57" s="7" t="s">
        <v>3600</v>
      </c>
      <c r="G57" s="10"/>
      <c r="H57" s="7" t="s">
        <v>3601</v>
      </c>
      <c r="I57" s="7" t="s">
        <v>3602</v>
      </c>
      <c r="J57" s="7" t="s">
        <v>3358</v>
      </c>
      <c r="K57" s="7"/>
      <c r="L57" s="11" t="str">
        <f>HYPERLINK("http://slimages.macys.com/is/image/MCY/8614358 ")</f>
        <v xml:space="preserve">http://slimages.macys.com/is/image/MCY/8614358 </v>
      </c>
    </row>
    <row r="58" spans="1:12" ht="39.950000000000003" customHeight="1" x14ac:dyDescent="0.25">
      <c r="A58" s="6" t="s">
        <v>3775</v>
      </c>
      <c r="B58" s="7" t="s">
        <v>3776</v>
      </c>
      <c r="C58" s="8">
        <v>1</v>
      </c>
      <c r="D58" s="9">
        <v>14.99</v>
      </c>
      <c r="E58" s="8" t="s">
        <v>3777</v>
      </c>
      <c r="F58" s="7" t="s">
        <v>3363</v>
      </c>
      <c r="G58" s="10" t="s">
        <v>3532</v>
      </c>
      <c r="H58" s="7" t="s">
        <v>3482</v>
      </c>
      <c r="I58" s="7" t="s">
        <v>3659</v>
      </c>
      <c r="J58" s="7" t="s">
        <v>3358</v>
      </c>
      <c r="K58" s="7" t="s">
        <v>3521</v>
      </c>
      <c r="L58" s="11" t="str">
        <f>HYPERLINK("http://slimages.macys.com/is/image/MCY/11946722 ")</f>
        <v xml:space="preserve">http://slimages.macys.com/is/image/MCY/11946722 </v>
      </c>
    </row>
    <row r="59" spans="1:12" ht="39.950000000000003" customHeight="1" x14ac:dyDescent="0.25">
      <c r="A59" s="6" t="s">
        <v>382</v>
      </c>
      <c r="B59" s="7" t="s">
        <v>383</v>
      </c>
      <c r="C59" s="8">
        <v>2</v>
      </c>
      <c r="D59" s="9">
        <v>19.98</v>
      </c>
      <c r="E59" s="8">
        <v>36626</v>
      </c>
      <c r="F59" s="7" t="s">
        <v>3355</v>
      </c>
      <c r="G59" s="10"/>
      <c r="H59" s="7" t="s">
        <v>3492</v>
      </c>
      <c r="I59" s="7" t="s">
        <v>3636</v>
      </c>
      <c r="J59" s="7" t="s">
        <v>3358</v>
      </c>
      <c r="K59" s="7"/>
      <c r="L59" s="11" t="str">
        <f>HYPERLINK("http://slimages.macys.com/is/image/MCY/16270371 ")</f>
        <v xml:space="preserve">http://slimages.macys.com/is/image/MCY/16270371 </v>
      </c>
    </row>
    <row r="60" spans="1:12" ht="39.950000000000003" customHeight="1" x14ac:dyDescent="0.25">
      <c r="A60" s="6" t="s">
        <v>384</v>
      </c>
      <c r="B60" s="7" t="s">
        <v>385</v>
      </c>
      <c r="C60" s="8">
        <v>1</v>
      </c>
      <c r="D60" s="9">
        <v>14.99</v>
      </c>
      <c r="E60" s="8" t="s">
        <v>386</v>
      </c>
      <c r="F60" s="7" t="s">
        <v>3363</v>
      </c>
      <c r="G60" s="10"/>
      <c r="H60" s="7" t="s">
        <v>3471</v>
      </c>
      <c r="I60" s="7" t="s">
        <v>387</v>
      </c>
      <c r="J60" s="7" t="s">
        <v>3358</v>
      </c>
      <c r="K60" s="7" t="s">
        <v>3390</v>
      </c>
      <c r="L60" s="11" t="str">
        <f>HYPERLINK("http://slimages.macys.com/is/image/MCY/15007909 ")</f>
        <v xml:space="preserve">http://slimages.macys.com/is/image/MCY/15007909 </v>
      </c>
    </row>
    <row r="61" spans="1:12" ht="39.950000000000003" customHeight="1" x14ac:dyDescent="0.25">
      <c r="A61" s="6" t="s">
        <v>388</v>
      </c>
      <c r="B61" s="7" t="s">
        <v>389</v>
      </c>
      <c r="C61" s="8">
        <v>4</v>
      </c>
      <c r="D61" s="9">
        <v>51.96</v>
      </c>
      <c r="E61" s="8" t="s">
        <v>390</v>
      </c>
      <c r="F61" s="7" t="s">
        <v>3384</v>
      </c>
      <c r="G61" s="10" t="s">
        <v>3774</v>
      </c>
      <c r="H61" s="7" t="s">
        <v>3482</v>
      </c>
      <c r="I61" s="7" t="s">
        <v>3618</v>
      </c>
      <c r="J61" s="7" t="s">
        <v>3358</v>
      </c>
      <c r="K61" s="7" t="s">
        <v>3484</v>
      </c>
      <c r="L61" s="11" t="str">
        <f>HYPERLINK("http://slimages.macys.com/is/image/MCY/12737814 ")</f>
        <v xml:space="preserve">http://slimages.macys.com/is/image/MCY/12737814 </v>
      </c>
    </row>
    <row r="62" spans="1:12" ht="39.950000000000003" customHeight="1" x14ac:dyDescent="0.25">
      <c r="A62" s="6" t="s">
        <v>391</v>
      </c>
      <c r="B62" s="7" t="s">
        <v>392</v>
      </c>
      <c r="C62" s="8">
        <v>1</v>
      </c>
      <c r="D62" s="9">
        <v>8.99</v>
      </c>
      <c r="E62" s="8">
        <v>1001233200</v>
      </c>
      <c r="F62" s="7" t="s">
        <v>3921</v>
      </c>
      <c r="G62" s="10" t="s">
        <v>4192</v>
      </c>
      <c r="H62" s="7" t="s">
        <v>3482</v>
      </c>
      <c r="I62" s="7" t="s">
        <v>3618</v>
      </c>
      <c r="J62" s="7" t="s">
        <v>3358</v>
      </c>
      <c r="K62" s="7" t="s">
        <v>3582</v>
      </c>
      <c r="L62" s="11" t="str">
        <f>HYPERLINK("http://slimages.macys.com/is/image/MCY/9369374 ")</f>
        <v xml:space="preserve">http://slimages.macys.com/is/image/MCY/9369374 </v>
      </c>
    </row>
    <row r="63" spans="1:12" ht="39.950000000000003" customHeight="1" x14ac:dyDescent="0.25">
      <c r="A63" s="6" t="s">
        <v>2597</v>
      </c>
      <c r="B63" s="7" t="s">
        <v>2598</v>
      </c>
      <c r="C63" s="8">
        <v>2</v>
      </c>
      <c r="D63" s="9">
        <v>165</v>
      </c>
      <c r="E63" s="8"/>
      <c r="F63" s="7" t="s">
        <v>3542</v>
      </c>
      <c r="G63" s="10" t="s">
        <v>3504</v>
      </c>
      <c r="H63" s="7" t="s">
        <v>3543</v>
      </c>
      <c r="I63" s="7" t="s">
        <v>3544</v>
      </c>
      <c r="J63" s="7"/>
      <c r="K63" s="7"/>
      <c r="L63" s="11"/>
    </row>
    <row r="64" spans="1:12" ht="39.950000000000003" customHeight="1" x14ac:dyDescent="0.25">
      <c r="A64" s="6" t="s">
        <v>3540</v>
      </c>
      <c r="B64" s="7" t="s">
        <v>3541</v>
      </c>
      <c r="C64" s="8">
        <v>9</v>
      </c>
      <c r="D64" s="9">
        <v>360</v>
      </c>
      <c r="E64" s="8"/>
      <c r="F64" s="7" t="s">
        <v>3542</v>
      </c>
      <c r="G64" s="10" t="s">
        <v>3504</v>
      </c>
      <c r="H64" s="7" t="s">
        <v>3543</v>
      </c>
      <c r="I64" s="7" t="s">
        <v>3544</v>
      </c>
      <c r="J64" s="7"/>
      <c r="K64" s="7"/>
      <c r="L64" s="11"/>
    </row>
  </sheetData>
  <phoneticPr fontId="0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393</v>
      </c>
      <c r="B2" s="7" t="s">
        <v>394</v>
      </c>
      <c r="C2" s="8">
        <v>1</v>
      </c>
      <c r="D2" s="9">
        <v>199.99</v>
      </c>
      <c r="E2" s="8" t="s">
        <v>395</v>
      </c>
      <c r="F2" s="7" t="s">
        <v>3481</v>
      </c>
      <c r="G2" s="10"/>
      <c r="H2" s="7" t="s">
        <v>3876</v>
      </c>
      <c r="I2" s="7" t="s">
        <v>3877</v>
      </c>
      <c r="J2" s="7" t="s">
        <v>3358</v>
      </c>
      <c r="K2" s="7" t="s">
        <v>3359</v>
      </c>
      <c r="L2" s="11" t="str">
        <f>HYPERLINK("http://slimages.macys.com/is/image/MCY/8025396 ")</f>
        <v xml:space="preserve">http://slimages.macys.com/is/image/MCY/8025396 </v>
      </c>
    </row>
    <row r="3" spans="1:12" ht="39.950000000000003" customHeight="1" x14ac:dyDescent="0.25">
      <c r="A3" s="6" t="s">
        <v>396</v>
      </c>
      <c r="B3" s="7" t="s">
        <v>397</v>
      </c>
      <c r="C3" s="8">
        <v>1</v>
      </c>
      <c r="D3" s="9">
        <v>299.99</v>
      </c>
      <c r="E3" s="8" t="s">
        <v>398</v>
      </c>
      <c r="F3" s="7" t="s">
        <v>3701</v>
      </c>
      <c r="G3" s="10"/>
      <c r="H3" s="7" t="s">
        <v>3876</v>
      </c>
      <c r="I3" s="7" t="s">
        <v>3894</v>
      </c>
      <c r="J3" s="7"/>
      <c r="K3" s="7"/>
      <c r="L3" s="11" t="str">
        <f>HYPERLINK("http://slimages.macys.com/is/image/MCY/17926328 ")</f>
        <v xml:space="preserve">http://slimages.macys.com/is/image/MCY/17926328 </v>
      </c>
    </row>
    <row r="4" spans="1:12" ht="39.950000000000003" customHeight="1" x14ac:dyDescent="0.25">
      <c r="A4" s="6" t="s">
        <v>399</v>
      </c>
      <c r="B4" s="7" t="s">
        <v>400</v>
      </c>
      <c r="C4" s="8">
        <v>1</v>
      </c>
      <c r="D4" s="9">
        <v>220.99</v>
      </c>
      <c r="E4" s="8" t="s">
        <v>401</v>
      </c>
      <c r="F4" s="7" t="s">
        <v>3477</v>
      </c>
      <c r="G4" s="10"/>
      <c r="H4" s="7" t="s">
        <v>3412</v>
      </c>
      <c r="I4" s="7" t="s">
        <v>3436</v>
      </c>
      <c r="J4" s="7" t="s">
        <v>3358</v>
      </c>
      <c r="K4" s="7" t="s">
        <v>402</v>
      </c>
      <c r="L4" s="11" t="str">
        <f>HYPERLINK("http://slimages.macys.com/is/image/MCY/9803586 ")</f>
        <v xml:space="preserve">http://slimages.macys.com/is/image/MCY/9803586 </v>
      </c>
    </row>
    <row r="5" spans="1:12" ht="39.950000000000003" customHeight="1" x14ac:dyDescent="0.25">
      <c r="A5" s="6" t="s">
        <v>403</v>
      </c>
      <c r="B5" s="7" t="s">
        <v>404</v>
      </c>
      <c r="C5" s="8">
        <v>1</v>
      </c>
      <c r="D5" s="9">
        <v>259.99</v>
      </c>
      <c r="E5" s="8" t="s">
        <v>405</v>
      </c>
      <c r="F5" s="7" t="s">
        <v>3937</v>
      </c>
      <c r="G5" s="10" t="s">
        <v>3364</v>
      </c>
      <c r="H5" s="7" t="s">
        <v>3365</v>
      </c>
      <c r="I5" s="7" t="s">
        <v>2522</v>
      </c>
      <c r="J5" s="7" t="s">
        <v>3358</v>
      </c>
      <c r="K5" s="7"/>
      <c r="L5" s="11" t="str">
        <f>HYPERLINK("http://slimages.macys.com/is/image/MCY/8453041 ")</f>
        <v xml:space="preserve">http://slimages.macys.com/is/image/MCY/8453041 </v>
      </c>
    </row>
    <row r="6" spans="1:12" ht="39.950000000000003" customHeight="1" x14ac:dyDescent="0.25">
      <c r="A6" s="6" t="s">
        <v>406</v>
      </c>
      <c r="B6" s="7" t="s">
        <v>407</v>
      </c>
      <c r="C6" s="8">
        <v>1</v>
      </c>
      <c r="D6" s="9">
        <v>249.99</v>
      </c>
      <c r="E6" s="8" t="s">
        <v>408</v>
      </c>
      <c r="F6" s="7" t="s">
        <v>3925</v>
      </c>
      <c r="G6" s="10" t="s">
        <v>3364</v>
      </c>
      <c r="H6" s="7" t="s">
        <v>3365</v>
      </c>
      <c r="I6" s="7" t="s">
        <v>3385</v>
      </c>
      <c r="J6" s="7"/>
      <c r="K6" s="7"/>
      <c r="L6" s="11" t="str">
        <f>HYPERLINK("http://slimages.macys.com/is/image/MCY/17106627 ")</f>
        <v xml:space="preserve">http://slimages.macys.com/is/image/MCY/17106627 </v>
      </c>
    </row>
    <row r="7" spans="1:12" ht="39.950000000000003" customHeight="1" x14ac:dyDescent="0.25">
      <c r="A7" s="6" t="s">
        <v>409</v>
      </c>
      <c r="B7" s="7" t="s">
        <v>410</v>
      </c>
      <c r="C7" s="8">
        <v>1</v>
      </c>
      <c r="D7" s="9">
        <v>219.99</v>
      </c>
      <c r="E7" s="8" t="s">
        <v>411</v>
      </c>
      <c r="F7" s="7" t="s">
        <v>3363</v>
      </c>
      <c r="G7" s="10" t="s">
        <v>3364</v>
      </c>
      <c r="H7" s="7" t="s">
        <v>3377</v>
      </c>
      <c r="I7" s="7" t="s">
        <v>3548</v>
      </c>
      <c r="J7" s="7" t="s">
        <v>3358</v>
      </c>
      <c r="K7" s="7"/>
      <c r="L7" s="11" t="str">
        <f>HYPERLINK("http://slimages.macys.com/is/image/MCY/2355760 ")</f>
        <v xml:space="preserve">http://slimages.macys.com/is/image/MCY/2355760 </v>
      </c>
    </row>
    <row r="8" spans="1:12" ht="39.950000000000003" customHeight="1" x14ac:dyDescent="0.25">
      <c r="A8" s="6" t="s">
        <v>412</v>
      </c>
      <c r="B8" s="7" t="s">
        <v>413</v>
      </c>
      <c r="C8" s="8">
        <v>1</v>
      </c>
      <c r="D8" s="9">
        <v>169.99</v>
      </c>
      <c r="E8" s="8">
        <v>124060</v>
      </c>
      <c r="F8" s="7" t="s">
        <v>3363</v>
      </c>
      <c r="G8" s="10"/>
      <c r="H8" s="7" t="s">
        <v>3422</v>
      </c>
      <c r="I8" s="7" t="s">
        <v>3423</v>
      </c>
      <c r="J8" s="7" t="s">
        <v>3358</v>
      </c>
      <c r="K8" s="7" t="s">
        <v>414</v>
      </c>
      <c r="L8" s="11" t="str">
        <f>HYPERLINK("http://slimages.macys.com/is/image/MCY/11189226 ")</f>
        <v xml:space="preserve">http://slimages.macys.com/is/image/MCY/11189226 </v>
      </c>
    </row>
    <row r="9" spans="1:12" ht="39.950000000000003" customHeight="1" x14ac:dyDescent="0.25">
      <c r="A9" s="6" t="s">
        <v>415</v>
      </c>
      <c r="B9" s="7" t="s">
        <v>416</v>
      </c>
      <c r="C9" s="8">
        <v>1</v>
      </c>
      <c r="D9" s="9">
        <v>139.99</v>
      </c>
      <c r="E9" s="8" t="s">
        <v>417</v>
      </c>
      <c r="F9" s="7" t="s">
        <v>3384</v>
      </c>
      <c r="G9" s="10"/>
      <c r="H9" s="7" t="s">
        <v>3388</v>
      </c>
      <c r="I9" s="7" t="s">
        <v>3461</v>
      </c>
      <c r="J9" s="7" t="s">
        <v>3358</v>
      </c>
      <c r="K9" s="7" t="s">
        <v>418</v>
      </c>
      <c r="L9" s="11" t="str">
        <f>HYPERLINK("http://slimages.macys.com/is/image/MCY/16125939 ")</f>
        <v xml:space="preserve">http://slimages.macys.com/is/image/MCY/16125939 </v>
      </c>
    </row>
    <row r="10" spans="1:12" ht="39.950000000000003" customHeight="1" x14ac:dyDescent="0.25">
      <c r="A10" s="6" t="s">
        <v>419</v>
      </c>
      <c r="B10" s="7" t="s">
        <v>420</v>
      </c>
      <c r="C10" s="8">
        <v>1</v>
      </c>
      <c r="D10" s="9">
        <v>129.99</v>
      </c>
      <c r="E10" s="8" t="s">
        <v>421</v>
      </c>
      <c r="F10" s="7" t="s">
        <v>3384</v>
      </c>
      <c r="G10" s="10"/>
      <c r="H10" s="7" t="s">
        <v>3397</v>
      </c>
      <c r="I10" s="7" t="s">
        <v>3590</v>
      </c>
      <c r="J10" s="7" t="s">
        <v>3358</v>
      </c>
      <c r="K10" s="7" t="s">
        <v>3121</v>
      </c>
      <c r="L10" s="11" t="str">
        <f>HYPERLINK("http://slimages.macys.com/is/image/MCY/9965257 ")</f>
        <v xml:space="preserve">http://slimages.macys.com/is/image/MCY/9965257 </v>
      </c>
    </row>
    <row r="11" spans="1:12" ht="39.950000000000003" customHeight="1" x14ac:dyDescent="0.25">
      <c r="A11" s="6" t="s">
        <v>422</v>
      </c>
      <c r="B11" s="7" t="s">
        <v>423</v>
      </c>
      <c r="C11" s="8">
        <v>1</v>
      </c>
      <c r="D11" s="9">
        <v>149.99</v>
      </c>
      <c r="E11" s="8" t="s">
        <v>424</v>
      </c>
      <c r="F11" s="7" t="s">
        <v>3426</v>
      </c>
      <c r="G11" s="10"/>
      <c r="H11" s="7" t="s">
        <v>4035</v>
      </c>
      <c r="I11" s="7" t="s">
        <v>4036</v>
      </c>
      <c r="J11" s="7"/>
      <c r="K11" s="7"/>
      <c r="L11" s="11" t="str">
        <f>HYPERLINK("http://slimages.macys.com/is/image/MCY/16990534 ")</f>
        <v xml:space="preserve">http://slimages.macys.com/is/image/MCY/16990534 </v>
      </c>
    </row>
    <row r="12" spans="1:12" ht="39.950000000000003" customHeight="1" x14ac:dyDescent="0.25">
      <c r="A12" s="6" t="s">
        <v>425</v>
      </c>
      <c r="B12" s="7" t="s">
        <v>426</v>
      </c>
      <c r="C12" s="8">
        <v>1</v>
      </c>
      <c r="D12" s="9">
        <v>119.99</v>
      </c>
      <c r="E12" s="8" t="s">
        <v>427</v>
      </c>
      <c r="F12" s="7" t="s">
        <v>3600</v>
      </c>
      <c r="G12" s="10"/>
      <c r="H12" s="7" t="s">
        <v>3601</v>
      </c>
      <c r="I12" s="7" t="s">
        <v>3602</v>
      </c>
      <c r="J12" s="7" t="s">
        <v>3358</v>
      </c>
      <c r="K12" s="7" t="s">
        <v>3521</v>
      </c>
      <c r="L12" s="11" t="str">
        <f>HYPERLINK("http://slimages.macys.com/is/image/MCY/8433239 ")</f>
        <v xml:space="preserve">http://slimages.macys.com/is/image/MCY/8433239 </v>
      </c>
    </row>
    <row r="13" spans="1:12" ht="39.950000000000003" customHeight="1" x14ac:dyDescent="0.25">
      <c r="A13" s="6" t="s">
        <v>428</v>
      </c>
      <c r="B13" s="7" t="s">
        <v>429</v>
      </c>
      <c r="C13" s="8">
        <v>1</v>
      </c>
      <c r="D13" s="9">
        <v>79.989999999999995</v>
      </c>
      <c r="E13" s="8" t="s">
        <v>430</v>
      </c>
      <c r="F13" s="7" t="s">
        <v>3706</v>
      </c>
      <c r="G13" s="10"/>
      <c r="H13" s="7" t="s">
        <v>3397</v>
      </c>
      <c r="I13" s="7" t="s">
        <v>2101</v>
      </c>
      <c r="J13" s="7" t="s">
        <v>3358</v>
      </c>
      <c r="K13" s="7" t="s">
        <v>3582</v>
      </c>
      <c r="L13" s="11" t="str">
        <f>HYPERLINK("http://slimages.macys.com/is/image/MCY/15008355 ")</f>
        <v xml:space="preserve">http://slimages.macys.com/is/image/MCY/15008355 </v>
      </c>
    </row>
    <row r="14" spans="1:12" ht="39.950000000000003" customHeight="1" x14ac:dyDescent="0.25">
      <c r="A14" s="6" t="s">
        <v>431</v>
      </c>
      <c r="B14" s="7" t="s">
        <v>432</v>
      </c>
      <c r="C14" s="8">
        <v>1</v>
      </c>
      <c r="D14" s="9">
        <v>99.99</v>
      </c>
      <c r="E14" s="8">
        <v>10004032000</v>
      </c>
      <c r="F14" s="7" t="s">
        <v>3531</v>
      </c>
      <c r="G14" s="10" t="s">
        <v>3893</v>
      </c>
      <c r="H14" s="7" t="s">
        <v>3365</v>
      </c>
      <c r="I14" s="7" t="s">
        <v>3385</v>
      </c>
      <c r="J14" s="7" t="s">
        <v>3751</v>
      </c>
      <c r="K14" s="7"/>
      <c r="L14" s="11" t="str">
        <f>HYPERLINK("http://slimages.macys.com/is/image/MCY/10889473 ")</f>
        <v xml:space="preserve">http://slimages.macys.com/is/image/MCY/10889473 </v>
      </c>
    </row>
    <row r="15" spans="1:12" ht="39.950000000000003" customHeight="1" x14ac:dyDescent="0.25">
      <c r="A15" s="6" t="s">
        <v>433</v>
      </c>
      <c r="B15" s="7" t="s">
        <v>434</v>
      </c>
      <c r="C15" s="8">
        <v>1</v>
      </c>
      <c r="D15" s="9">
        <v>94.99</v>
      </c>
      <c r="E15" s="8" t="s">
        <v>435</v>
      </c>
      <c r="F15" s="7" t="s">
        <v>3363</v>
      </c>
      <c r="G15" s="10" t="s">
        <v>3606</v>
      </c>
      <c r="H15" s="7" t="s">
        <v>3388</v>
      </c>
      <c r="I15" s="7" t="s">
        <v>3664</v>
      </c>
      <c r="J15" s="7" t="s">
        <v>3692</v>
      </c>
      <c r="K15" s="7" t="s">
        <v>436</v>
      </c>
      <c r="L15" s="11" t="str">
        <f>HYPERLINK("http://slimages.macys.com/is/image/MCY/11798286 ")</f>
        <v xml:space="preserve">http://slimages.macys.com/is/image/MCY/11798286 </v>
      </c>
    </row>
    <row r="16" spans="1:12" ht="39.950000000000003" customHeight="1" x14ac:dyDescent="0.25">
      <c r="A16" s="6" t="s">
        <v>437</v>
      </c>
      <c r="B16" s="7" t="s">
        <v>438</v>
      </c>
      <c r="C16" s="8">
        <v>1</v>
      </c>
      <c r="D16" s="9">
        <v>96</v>
      </c>
      <c r="E16" s="8" t="s">
        <v>439</v>
      </c>
      <c r="F16" s="7" t="s">
        <v>3840</v>
      </c>
      <c r="G16" s="10"/>
      <c r="H16" s="7" t="s">
        <v>3492</v>
      </c>
      <c r="I16" s="7" t="s">
        <v>3317</v>
      </c>
      <c r="J16" s="7" t="s">
        <v>3358</v>
      </c>
      <c r="K16" s="7" t="s">
        <v>3390</v>
      </c>
      <c r="L16" s="11" t="str">
        <f>HYPERLINK("http://slimages.macys.com/is/image/MCY/11573147 ")</f>
        <v xml:space="preserve">http://slimages.macys.com/is/image/MCY/11573147 </v>
      </c>
    </row>
    <row r="17" spans="1:12" ht="39.950000000000003" customHeight="1" x14ac:dyDescent="0.25">
      <c r="A17" s="6" t="s">
        <v>440</v>
      </c>
      <c r="B17" s="7" t="s">
        <v>441</v>
      </c>
      <c r="C17" s="8">
        <v>1</v>
      </c>
      <c r="D17" s="9">
        <v>89.99</v>
      </c>
      <c r="E17" s="8" t="s">
        <v>442</v>
      </c>
      <c r="F17" s="7"/>
      <c r="G17" s="10"/>
      <c r="H17" s="7" t="s">
        <v>3412</v>
      </c>
      <c r="I17" s="7" t="s">
        <v>3436</v>
      </c>
      <c r="J17" s="7" t="s">
        <v>3358</v>
      </c>
      <c r="K17" s="7" t="s">
        <v>3506</v>
      </c>
      <c r="L17" s="11" t="str">
        <f>HYPERLINK("http://slimages.macys.com/is/image/MCY/16661217 ")</f>
        <v xml:space="preserve">http://slimages.macys.com/is/image/MCY/16661217 </v>
      </c>
    </row>
    <row r="18" spans="1:12" ht="39.950000000000003" customHeight="1" x14ac:dyDescent="0.25">
      <c r="A18" s="6" t="s">
        <v>443</v>
      </c>
      <c r="B18" s="7" t="s">
        <v>444</v>
      </c>
      <c r="C18" s="8">
        <v>1</v>
      </c>
      <c r="D18" s="9">
        <v>155</v>
      </c>
      <c r="E18" s="8" t="s">
        <v>445</v>
      </c>
      <c r="F18" s="7" t="s">
        <v>4021</v>
      </c>
      <c r="G18" s="10"/>
      <c r="H18" s="7" t="s">
        <v>3418</v>
      </c>
      <c r="I18" s="7" t="s">
        <v>3195</v>
      </c>
      <c r="J18" s="7" t="s">
        <v>3813</v>
      </c>
      <c r="K18" s="7" t="s">
        <v>3484</v>
      </c>
      <c r="L18" s="11" t="str">
        <f>HYPERLINK("http://images.bloomingdales.com/is/image/BLM/11019944 ")</f>
        <v xml:space="preserve">http://images.bloomingdales.com/is/image/BLM/11019944 </v>
      </c>
    </row>
    <row r="19" spans="1:12" ht="39.950000000000003" customHeight="1" x14ac:dyDescent="0.25">
      <c r="A19" s="6" t="s">
        <v>446</v>
      </c>
      <c r="B19" s="7" t="s">
        <v>447</v>
      </c>
      <c r="C19" s="8">
        <v>1</v>
      </c>
      <c r="D19" s="9">
        <v>99.99</v>
      </c>
      <c r="E19" s="8" t="s">
        <v>448</v>
      </c>
      <c r="F19" s="7" t="s">
        <v>3384</v>
      </c>
      <c r="G19" s="10" t="s">
        <v>3788</v>
      </c>
      <c r="H19" s="7" t="s">
        <v>3658</v>
      </c>
      <c r="I19" s="7" t="s">
        <v>3659</v>
      </c>
      <c r="J19" s="7" t="s">
        <v>3358</v>
      </c>
      <c r="K19" s="7"/>
      <c r="L19" s="11" t="str">
        <f>HYPERLINK("http://slimages.macys.com/is/image/MCY/8513894 ")</f>
        <v xml:space="preserve">http://slimages.macys.com/is/image/MCY/8513894 </v>
      </c>
    </row>
    <row r="20" spans="1:12" ht="39.950000000000003" customHeight="1" x14ac:dyDescent="0.25">
      <c r="A20" s="6" t="s">
        <v>449</v>
      </c>
      <c r="B20" s="7" t="s">
        <v>450</v>
      </c>
      <c r="C20" s="8">
        <v>1</v>
      </c>
      <c r="D20" s="9">
        <v>89.99</v>
      </c>
      <c r="E20" s="8" t="s">
        <v>451</v>
      </c>
      <c r="F20" s="7" t="s">
        <v>3417</v>
      </c>
      <c r="G20" s="10"/>
      <c r="H20" s="7" t="s">
        <v>3418</v>
      </c>
      <c r="I20" s="7" t="s">
        <v>4224</v>
      </c>
      <c r="J20" s="7" t="s">
        <v>3358</v>
      </c>
      <c r="K20" s="7" t="s">
        <v>452</v>
      </c>
      <c r="L20" s="11" t="str">
        <f>HYPERLINK("http://slimages.macys.com/is/image/MCY/16534014 ")</f>
        <v xml:space="preserve">http://slimages.macys.com/is/image/MCY/16534014 </v>
      </c>
    </row>
    <row r="21" spans="1:12" ht="39.950000000000003" customHeight="1" x14ac:dyDescent="0.25">
      <c r="A21" s="6" t="s">
        <v>2873</v>
      </c>
      <c r="B21" s="7" t="s">
        <v>2874</v>
      </c>
      <c r="C21" s="8">
        <v>1</v>
      </c>
      <c r="D21" s="9">
        <v>69.989999999999995</v>
      </c>
      <c r="E21" s="8" t="s">
        <v>2875</v>
      </c>
      <c r="F21" s="7" t="s">
        <v>3452</v>
      </c>
      <c r="G21" s="10"/>
      <c r="H21" s="7" t="s">
        <v>3356</v>
      </c>
      <c r="I21" s="7" t="s">
        <v>2876</v>
      </c>
      <c r="J21" s="7" t="s">
        <v>3358</v>
      </c>
      <c r="K21" s="7" t="s">
        <v>3390</v>
      </c>
      <c r="L21" s="11" t="str">
        <f>HYPERLINK("http://slimages.macys.com/is/image/MCY/3819330 ")</f>
        <v xml:space="preserve">http://slimages.macys.com/is/image/MCY/3819330 </v>
      </c>
    </row>
    <row r="22" spans="1:12" ht="39.950000000000003" customHeight="1" x14ac:dyDescent="0.25">
      <c r="A22" s="6" t="s">
        <v>453</v>
      </c>
      <c r="B22" s="7" t="s">
        <v>454</v>
      </c>
      <c r="C22" s="8">
        <v>1</v>
      </c>
      <c r="D22" s="9">
        <v>49.99</v>
      </c>
      <c r="E22" s="8">
        <v>22360338</v>
      </c>
      <c r="F22" s="7" t="s">
        <v>3525</v>
      </c>
      <c r="G22" s="10"/>
      <c r="H22" s="7" t="s">
        <v>3526</v>
      </c>
      <c r="I22" s="7" t="s">
        <v>3413</v>
      </c>
      <c r="J22" s="7"/>
      <c r="K22" s="7"/>
      <c r="L22" s="11" t="str">
        <f>HYPERLINK("http://slimages.macys.com/is/image/MCY/17191785 ")</f>
        <v xml:space="preserve">http://slimages.macys.com/is/image/MCY/17191785 </v>
      </c>
    </row>
    <row r="23" spans="1:12" ht="39.950000000000003" customHeight="1" x14ac:dyDescent="0.25">
      <c r="A23" s="6" t="s">
        <v>455</v>
      </c>
      <c r="B23" s="7" t="s">
        <v>456</v>
      </c>
      <c r="C23" s="8">
        <v>1</v>
      </c>
      <c r="D23" s="9">
        <v>94.99</v>
      </c>
      <c r="E23" s="8" t="s">
        <v>457</v>
      </c>
      <c r="F23" s="7" t="s">
        <v>3498</v>
      </c>
      <c r="G23" s="10" t="s">
        <v>3645</v>
      </c>
      <c r="H23" s="7" t="s">
        <v>3471</v>
      </c>
      <c r="I23" s="7" t="s">
        <v>3548</v>
      </c>
      <c r="J23" s="7" t="s">
        <v>3358</v>
      </c>
      <c r="K23" s="7" t="s">
        <v>458</v>
      </c>
      <c r="L23" s="11" t="str">
        <f>HYPERLINK("http://slimages.macys.com/is/image/MCY/13121400 ")</f>
        <v xml:space="preserve">http://slimages.macys.com/is/image/MCY/13121400 </v>
      </c>
    </row>
    <row r="24" spans="1:12" ht="39.950000000000003" customHeight="1" x14ac:dyDescent="0.25">
      <c r="A24" s="6" t="s">
        <v>459</v>
      </c>
      <c r="B24" s="7" t="s">
        <v>460</v>
      </c>
      <c r="C24" s="8">
        <v>1</v>
      </c>
      <c r="D24" s="9">
        <v>49.99</v>
      </c>
      <c r="E24" s="8" t="s">
        <v>461</v>
      </c>
      <c r="F24" s="7" t="s">
        <v>3384</v>
      </c>
      <c r="G24" s="10"/>
      <c r="H24" s="7" t="s">
        <v>3526</v>
      </c>
      <c r="I24" s="7" t="s">
        <v>3865</v>
      </c>
      <c r="J24" s="7"/>
      <c r="K24" s="7"/>
      <c r="L24" s="11" t="str">
        <f>HYPERLINK("http://slimages.macys.com/is/image/MCY/17968749 ")</f>
        <v xml:space="preserve">http://slimages.macys.com/is/image/MCY/17968749 </v>
      </c>
    </row>
    <row r="25" spans="1:12" ht="39.950000000000003" customHeight="1" x14ac:dyDescent="0.25">
      <c r="A25" s="6" t="s">
        <v>4300</v>
      </c>
      <c r="B25" s="7" t="s">
        <v>4301</v>
      </c>
      <c r="C25" s="8">
        <v>1</v>
      </c>
      <c r="D25" s="9">
        <v>49.99</v>
      </c>
      <c r="E25" s="8" t="s">
        <v>4302</v>
      </c>
      <c r="F25" s="7" t="s">
        <v>3477</v>
      </c>
      <c r="G25" s="10"/>
      <c r="H25" s="7" t="s">
        <v>3412</v>
      </c>
      <c r="I25" s="7" t="s">
        <v>3413</v>
      </c>
      <c r="J25" s="7" t="s">
        <v>3358</v>
      </c>
      <c r="K25" s="7" t="s">
        <v>3390</v>
      </c>
      <c r="L25" s="11" t="str">
        <f>HYPERLINK("http://slimages.macys.com/is/image/MCY/8347198 ")</f>
        <v xml:space="preserve">http://slimages.macys.com/is/image/MCY/8347198 </v>
      </c>
    </row>
    <row r="26" spans="1:12" ht="39.950000000000003" customHeight="1" x14ac:dyDescent="0.25">
      <c r="A26" s="6" t="s">
        <v>462</v>
      </c>
      <c r="B26" s="7" t="s">
        <v>463</v>
      </c>
      <c r="C26" s="8">
        <v>1</v>
      </c>
      <c r="D26" s="9">
        <v>49.99</v>
      </c>
      <c r="E26" s="8">
        <v>21454322</v>
      </c>
      <c r="F26" s="7" t="s">
        <v>464</v>
      </c>
      <c r="G26" s="10"/>
      <c r="H26" s="7" t="s">
        <v>3412</v>
      </c>
      <c r="I26" s="7" t="s">
        <v>3413</v>
      </c>
      <c r="J26" s="7" t="s">
        <v>3358</v>
      </c>
      <c r="K26" s="7" t="s">
        <v>3390</v>
      </c>
      <c r="L26" s="11" t="str">
        <f>HYPERLINK("http://slimages.macys.com/is/image/MCY/14634045 ")</f>
        <v xml:space="preserve">http://slimages.macys.com/is/image/MCY/14634045 </v>
      </c>
    </row>
    <row r="27" spans="1:12" ht="39.950000000000003" customHeight="1" x14ac:dyDescent="0.25">
      <c r="A27" s="6" t="s">
        <v>465</v>
      </c>
      <c r="B27" s="7" t="s">
        <v>466</v>
      </c>
      <c r="C27" s="8">
        <v>2</v>
      </c>
      <c r="D27" s="9">
        <v>99.98</v>
      </c>
      <c r="E27" s="8" t="s">
        <v>467</v>
      </c>
      <c r="F27" s="7" t="s">
        <v>3384</v>
      </c>
      <c r="G27" s="10"/>
      <c r="H27" s="7" t="s">
        <v>3412</v>
      </c>
      <c r="I27" s="7" t="s">
        <v>3413</v>
      </c>
      <c r="J27" s="7" t="s">
        <v>3358</v>
      </c>
      <c r="K27" s="7" t="s">
        <v>3390</v>
      </c>
      <c r="L27" s="11" t="str">
        <f>HYPERLINK("http://slimages.macys.com/is/image/MCY/8347198 ")</f>
        <v xml:space="preserve">http://slimages.macys.com/is/image/MCY/8347198 </v>
      </c>
    </row>
    <row r="28" spans="1:12" ht="39.950000000000003" customHeight="1" x14ac:dyDescent="0.25">
      <c r="A28" s="6" t="s">
        <v>468</v>
      </c>
      <c r="B28" s="7" t="s">
        <v>469</v>
      </c>
      <c r="C28" s="8">
        <v>1</v>
      </c>
      <c r="D28" s="9">
        <v>49.99</v>
      </c>
      <c r="E28" s="8" t="s">
        <v>470</v>
      </c>
      <c r="F28" s="7" t="s">
        <v>3384</v>
      </c>
      <c r="G28" s="10"/>
      <c r="H28" s="7" t="s">
        <v>3526</v>
      </c>
      <c r="I28" s="7" t="s">
        <v>3510</v>
      </c>
      <c r="J28" s="7"/>
      <c r="K28" s="7"/>
      <c r="L28" s="11" t="str">
        <f>HYPERLINK("http://slimages.macys.com/is/image/MCY/18172452 ")</f>
        <v xml:space="preserve">http://slimages.macys.com/is/image/MCY/18172452 </v>
      </c>
    </row>
    <row r="29" spans="1:12" ht="39.950000000000003" customHeight="1" x14ac:dyDescent="0.25">
      <c r="A29" s="6" t="s">
        <v>471</v>
      </c>
      <c r="B29" s="7" t="s">
        <v>472</v>
      </c>
      <c r="C29" s="8">
        <v>1</v>
      </c>
      <c r="D29" s="9">
        <v>49.99</v>
      </c>
      <c r="E29" s="8">
        <v>22247222</v>
      </c>
      <c r="F29" s="7"/>
      <c r="G29" s="10"/>
      <c r="H29" s="7" t="s">
        <v>3412</v>
      </c>
      <c r="I29" s="7" t="s">
        <v>3413</v>
      </c>
      <c r="J29" s="7" t="s">
        <v>3358</v>
      </c>
      <c r="K29" s="7" t="s">
        <v>3390</v>
      </c>
      <c r="L29" s="11" t="str">
        <f>HYPERLINK("http://slimages.macys.com/is/image/MCY/16687861 ")</f>
        <v xml:space="preserve">http://slimages.macys.com/is/image/MCY/16687861 </v>
      </c>
    </row>
    <row r="30" spans="1:12" ht="39.950000000000003" customHeight="1" x14ac:dyDescent="0.25">
      <c r="A30" s="6" t="s">
        <v>1558</v>
      </c>
      <c r="B30" s="7" t="s">
        <v>1559</v>
      </c>
      <c r="C30" s="8">
        <v>1</v>
      </c>
      <c r="D30" s="9">
        <v>49.99</v>
      </c>
      <c r="E30" s="8" t="s">
        <v>1560</v>
      </c>
      <c r="F30" s="7" t="s">
        <v>3363</v>
      </c>
      <c r="G30" s="10"/>
      <c r="H30" s="7" t="s">
        <v>3412</v>
      </c>
      <c r="I30" s="7" t="s">
        <v>3413</v>
      </c>
      <c r="J30" s="7" t="s">
        <v>3358</v>
      </c>
      <c r="K30" s="7" t="s">
        <v>4098</v>
      </c>
      <c r="L30" s="11" t="str">
        <f>HYPERLINK("http://slimages.macys.com/is/image/MCY/9330026 ")</f>
        <v xml:space="preserve">http://slimages.macys.com/is/image/MCY/9330026 </v>
      </c>
    </row>
    <row r="31" spans="1:12" ht="39.950000000000003" customHeight="1" x14ac:dyDescent="0.25">
      <c r="A31" s="6" t="s">
        <v>473</v>
      </c>
      <c r="B31" s="7" t="s">
        <v>474</v>
      </c>
      <c r="C31" s="8">
        <v>1</v>
      </c>
      <c r="D31" s="9">
        <v>49.99</v>
      </c>
      <c r="E31" s="8">
        <v>22246222</v>
      </c>
      <c r="F31" s="7" t="s">
        <v>3384</v>
      </c>
      <c r="G31" s="10"/>
      <c r="H31" s="7" t="s">
        <v>3412</v>
      </c>
      <c r="I31" s="7" t="s">
        <v>3413</v>
      </c>
      <c r="J31" s="7" t="s">
        <v>3358</v>
      </c>
      <c r="K31" s="7" t="s">
        <v>3390</v>
      </c>
      <c r="L31" s="11" t="str">
        <f>HYPERLINK("http://slimages.macys.com/is/image/MCY/16687323 ")</f>
        <v xml:space="preserve">http://slimages.macys.com/is/image/MCY/16687323 </v>
      </c>
    </row>
    <row r="32" spans="1:12" ht="39.950000000000003" customHeight="1" x14ac:dyDescent="0.25">
      <c r="A32" s="6" t="s">
        <v>475</v>
      </c>
      <c r="B32" s="7" t="s">
        <v>476</v>
      </c>
      <c r="C32" s="8">
        <v>1</v>
      </c>
      <c r="D32" s="9">
        <v>49.99</v>
      </c>
      <c r="E32" s="8" t="s">
        <v>477</v>
      </c>
      <c r="F32" s="7" t="s">
        <v>3802</v>
      </c>
      <c r="G32" s="10" t="s">
        <v>2914</v>
      </c>
      <c r="H32" s="7" t="s">
        <v>3492</v>
      </c>
      <c r="I32" s="7" t="s">
        <v>3510</v>
      </c>
      <c r="J32" s="7" t="s">
        <v>3358</v>
      </c>
      <c r="K32" s="7" t="s">
        <v>478</v>
      </c>
      <c r="L32" s="11" t="str">
        <f>HYPERLINK("http://slimages.macys.com/is/image/MCY/9545849 ")</f>
        <v xml:space="preserve">http://slimages.macys.com/is/image/MCY/9545849 </v>
      </c>
    </row>
    <row r="33" spans="1:12" ht="39.950000000000003" customHeight="1" x14ac:dyDescent="0.25">
      <c r="A33" s="6" t="s">
        <v>479</v>
      </c>
      <c r="B33" s="7" t="s">
        <v>480</v>
      </c>
      <c r="C33" s="8">
        <v>1</v>
      </c>
      <c r="D33" s="9">
        <v>49.99</v>
      </c>
      <c r="E33" s="8" t="s">
        <v>481</v>
      </c>
      <c r="F33" s="7"/>
      <c r="G33" s="10"/>
      <c r="H33" s="7" t="s">
        <v>3412</v>
      </c>
      <c r="I33" s="7" t="s">
        <v>3510</v>
      </c>
      <c r="J33" s="7"/>
      <c r="K33" s="7"/>
      <c r="L33" s="11" t="str">
        <f>HYPERLINK("http://slimages.macys.com/is/image/MCY/17088229 ")</f>
        <v xml:space="preserve">http://slimages.macys.com/is/image/MCY/17088229 </v>
      </c>
    </row>
    <row r="34" spans="1:12" ht="39.950000000000003" customHeight="1" x14ac:dyDescent="0.25">
      <c r="A34" s="6" t="s">
        <v>482</v>
      </c>
      <c r="B34" s="7" t="s">
        <v>483</v>
      </c>
      <c r="C34" s="8">
        <v>1</v>
      </c>
      <c r="D34" s="9">
        <v>49.99</v>
      </c>
      <c r="E34" s="8" t="s">
        <v>484</v>
      </c>
      <c r="F34" s="7" t="s">
        <v>3498</v>
      </c>
      <c r="G34" s="10"/>
      <c r="H34" s="7" t="s">
        <v>3876</v>
      </c>
      <c r="I34" s="7" t="s">
        <v>3894</v>
      </c>
      <c r="J34" s="7" t="s">
        <v>3358</v>
      </c>
      <c r="K34" s="7" t="s">
        <v>3390</v>
      </c>
      <c r="L34" s="11" t="str">
        <f>HYPERLINK("http://slimages.macys.com/is/image/MCY/8736230 ")</f>
        <v xml:space="preserve">http://slimages.macys.com/is/image/MCY/8736230 </v>
      </c>
    </row>
    <row r="35" spans="1:12" ht="39.950000000000003" customHeight="1" x14ac:dyDescent="0.25">
      <c r="A35" s="6" t="s">
        <v>485</v>
      </c>
      <c r="B35" s="7" t="s">
        <v>486</v>
      </c>
      <c r="C35" s="8">
        <v>4</v>
      </c>
      <c r="D35" s="9">
        <v>159.96</v>
      </c>
      <c r="E35" s="8">
        <v>56595</v>
      </c>
      <c r="F35" s="7" t="s">
        <v>3525</v>
      </c>
      <c r="G35" s="10"/>
      <c r="H35" s="7" t="s">
        <v>3492</v>
      </c>
      <c r="I35" s="7" t="s">
        <v>3636</v>
      </c>
      <c r="J35" s="7" t="s">
        <v>3358</v>
      </c>
      <c r="K35" s="7" t="s">
        <v>3390</v>
      </c>
      <c r="L35" s="11" t="str">
        <f>HYPERLINK("http://slimages.macys.com/is/image/MCY/16060450 ")</f>
        <v xml:space="preserve">http://slimages.macys.com/is/image/MCY/16060450 </v>
      </c>
    </row>
    <row r="36" spans="1:12" ht="39.950000000000003" customHeight="1" x14ac:dyDescent="0.25">
      <c r="A36" s="6" t="s">
        <v>487</v>
      </c>
      <c r="B36" s="7" t="s">
        <v>488</v>
      </c>
      <c r="C36" s="8">
        <v>1</v>
      </c>
      <c r="D36" s="9">
        <v>49.99</v>
      </c>
      <c r="E36" s="8" t="s">
        <v>489</v>
      </c>
      <c r="F36" s="7" t="s">
        <v>3553</v>
      </c>
      <c r="G36" s="10"/>
      <c r="H36" s="7" t="s">
        <v>3526</v>
      </c>
      <c r="I36" s="7" t="s">
        <v>3865</v>
      </c>
      <c r="J36" s="7"/>
      <c r="K36" s="7"/>
      <c r="L36" s="11" t="str">
        <f>HYPERLINK("http://slimages.macys.com/is/image/MCY/17968749 ")</f>
        <v xml:space="preserve">http://slimages.macys.com/is/image/MCY/17968749 </v>
      </c>
    </row>
    <row r="37" spans="1:12" ht="39.950000000000003" customHeight="1" x14ac:dyDescent="0.25">
      <c r="A37" s="6" t="s">
        <v>490</v>
      </c>
      <c r="B37" s="7" t="s">
        <v>491</v>
      </c>
      <c r="C37" s="8">
        <v>1</v>
      </c>
      <c r="D37" s="9">
        <v>44.99</v>
      </c>
      <c r="E37" s="8">
        <v>63962</v>
      </c>
      <c r="F37" s="7" t="s">
        <v>3363</v>
      </c>
      <c r="G37" s="10" t="s">
        <v>3645</v>
      </c>
      <c r="H37" s="7" t="s">
        <v>3388</v>
      </c>
      <c r="I37" s="7" t="s">
        <v>3389</v>
      </c>
      <c r="J37" s="7" t="s">
        <v>3379</v>
      </c>
      <c r="K37" s="7" t="s">
        <v>492</v>
      </c>
      <c r="L37" s="11" t="str">
        <f>HYPERLINK("http://slimages.macys.com/is/image/MCY/3201358 ")</f>
        <v xml:space="preserve">http://slimages.macys.com/is/image/MCY/3201358 </v>
      </c>
    </row>
    <row r="38" spans="1:12" ht="39.950000000000003" customHeight="1" x14ac:dyDescent="0.25">
      <c r="A38" s="6" t="s">
        <v>493</v>
      </c>
      <c r="B38" s="7" t="s">
        <v>494</v>
      </c>
      <c r="C38" s="8">
        <v>1</v>
      </c>
      <c r="D38" s="9">
        <v>34.99</v>
      </c>
      <c r="E38" s="8" t="s">
        <v>495</v>
      </c>
      <c r="F38" s="7" t="s">
        <v>4021</v>
      </c>
      <c r="G38" s="10"/>
      <c r="H38" s="7" t="s">
        <v>3526</v>
      </c>
      <c r="I38" s="7" t="s">
        <v>3722</v>
      </c>
      <c r="J38" s="7" t="s">
        <v>3358</v>
      </c>
      <c r="K38" s="7" t="s">
        <v>496</v>
      </c>
      <c r="L38" s="11" t="str">
        <f>HYPERLINK("http://slimages.macys.com/is/image/MCY/8993077 ")</f>
        <v xml:space="preserve">http://slimages.macys.com/is/image/MCY/8993077 </v>
      </c>
    </row>
    <row r="39" spans="1:12" ht="39.950000000000003" customHeight="1" x14ac:dyDescent="0.25">
      <c r="A39" s="6" t="s">
        <v>497</v>
      </c>
      <c r="B39" s="7" t="s">
        <v>498</v>
      </c>
      <c r="C39" s="8">
        <v>2</v>
      </c>
      <c r="D39" s="9">
        <v>73.98</v>
      </c>
      <c r="E39" s="8" t="s">
        <v>499</v>
      </c>
      <c r="F39" s="7" t="s">
        <v>3904</v>
      </c>
      <c r="G39" s="10"/>
      <c r="H39" s="7" t="s">
        <v>3492</v>
      </c>
      <c r="I39" s="7" t="s">
        <v>3436</v>
      </c>
      <c r="J39" s="7" t="s">
        <v>3358</v>
      </c>
      <c r="K39" s="7" t="s">
        <v>500</v>
      </c>
      <c r="L39" s="11" t="str">
        <f>HYPERLINK("http://slimages.macys.com/is/image/MCY/9539706 ")</f>
        <v xml:space="preserve">http://slimages.macys.com/is/image/MCY/9539706 </v>
      </c>
    </row>
    <row r="40" spans="1:12" ht="39.950000000000003" customHeight="1" x14ac:dyDescent="0.25">
      <c r="A40" s="6" t="s">
        <v>501</v>
      </c>
      <c r="B40" s="7" t="s">
        <v>502</v>
      </c>
      <c r="C40" s="8">
        <v>1</v>
      </c>
      <c r="D40" s="9">
        <v>30.99</v>
      </c>
      <c r="E40" s="8" t="s">
        <v>503</v>
      </c>
      <c r="F40" s="7" t="s">
        <v>3650</v>
      </c>
      <c r="G40" s="10"/>
      <c r="H40" s="7" t="s">
        <v>3526</v>
      </c>
      <c r="I40" s="7" t="s">
        <v>504</v>
      </c>
      <c r="J40" s="7" t="s">
        <v>3358</v>
      </c>
      <c r="K40" s="7" t="s">
        <v>3390</v>
      </c>
      <c r="L40" s="11" t="str">
        <f>HYPERLINK("http://slimages.macys.com/is/image/MCY/11205379 ")</f>
        <v xml:space="preserve">http://slimages.macys.com/is/image/MCY/11205379 </v>
      </c>
    </row>
    <row r="41" spans="1:12" ht="39.950000000000003" customHeight="1" x14ac:dyDescent="0.25">
      <c r="A41" s="6" t="s">
        <v>505</v>
      </c>
      <c r="B41" s="7" t="s">
        <v>506</v>
      </c>
      <c r="C41" s="8">
        <v>1</v>
      </c>
      <c r="D41" s="9">
        <v>34.99</v>
      </c>
      <c r="E41" s="8" t="s">
        <v>507</v>
      </c>
      <c r="F41" s="7" t="s">
        <v>3706</v>
      </c>
      <c r="G41" s="10"/>
      <c r="H41" s="7" t="s">
        <v>3515</v>
      </c>
      <c r="I41" s="7" t="s">
        <v>2539</v>
      </c>
      <c r="J41" s="7"/>
      <c r="K41" s="7"/>
      <c r="L41" s="11" t="str">
        <f>HYPERLINK("http://slimages.macys.com/is/image/MCY/17100907 ")</f>
        <v xml:space="preserve">http://slimages.macys.com/is/image/MCY/17100907 </v>
      </c>
    </row>
    <row r="42" spans="1:12" ht="39.950000000000003" customHeight="1" x14ac:dyDescent="0.25">
      <c r="A42" s="6" t="s">
        <v>508</v>
      </c>
      <c r="B42" s="7" t="s">
        <v>509</v>
      </c>
      <c r="C42" s="8">
        <v>1</v>
      </c>
      <c r="D42" s="9">
        <v>44.99</v>
      </c>
      <c r="E42" s="8" t="s">
        <v>510</v>
      </c>
      <c r="F42" s="7" t="s">
        <v>3650</v>
      </c>
      <c r="G42" s="10" t="s">
        <v>4343</v>
      </c>
      <c r="H42" s="7" t="s">
        <v>3492</v>
      </c>
      <c r="I42" s="7" t="s">
        <v>3731</v>
      </c>
      <c r="J42" s="7" t="s">
        <v>3358</v>
      </c>
      <c r="K42" s="7" t="s">
        <v>3390</v>
      </c>
      <c r="L42" s="11" t="str">
        <f>HYPERLINK("http://slimages.macys.com/is/image/MCY/16331473 ")</f>
        <v xml:space="preserve">http://slimages.macys.com/is/image/MCY/16331473 </v>
      </c>
    </row>
    <row r="43" spans="1:12" ht="39.950000000000003" customHeight="1" x14ac:dyDescent="0.25">
      <c r="A43" s="6" t="s">
        <v>511</v>
      </c>
      <c r="B43" s="7" t="s">
        <v>512</v>
      </c>
      <c r="C43" s="8">
        <v>1</v>
      </c>
      <c r="D43" s="9">
        <v>41.99</v>
      </c>
      <c r="E43" s="8" t="s">
        <v>513</v>
      </c>
      <c r="F43" s="7" t="s">
        <v>3921</v>
      </c>
      <c r="G43" s="10"/>
      <c r="H43" s="7" t="s">
        <v>3377</v>
      </c>
      <c r="I43" s="7" t="s">
        <v>3478</v>
      </c>
      <c r="J43" s="7"/>
      <c r="K43" s="7"/>
      <c r="L43" s="11" t="str">
        <f>HYPERLINK("http://slimages.macys.com/is/image/MCY/12327267 ")</f>
        <v xml:space="preserve">http://slimages.macys.com/is/image/MCY/12327267 </v>
      </c>
    </row>
    <row r="44" spans="1:12" ht="39.950000000000003" customHeight="1" x14ac:dyDescent="0.25">
      <c r="A44" s="6" t="s">
        <v>514</v>
      </c>
      <c r="B44" s="7" t="s">
        <v>515</v>
      </c>
      <c r="C44" s="8">
        <v>2</v>
      </c>
      <c r="D44" s="9">
        <v>57.98</v>
      </c>
      <c r="E44" s="8">
        <v>53089</v>
      </c>
      <c r="F44" s="7" t="s">
        <v>3525</v>
      </c>
      <c r="G44" s="10"/>
      <c r="H44" s="7" t="s">
        <v>3492</v>
      </c>
      <c r="I44" s="7" t="s">
        <v>3636</v>
      </c>
      <c r="J44" s="7" t="s">
        <v>3358</v>
      </c>
      <c r="K44" s="7"/>
      <c r="L44" s="11" t="str">
        <f>HYPERLINK("http://slimages.macys.com/is/image/MCY/9972672 ")</f>
        <v xml:space="preserve">http://slimages.macys.com/is/image/MCY/9972672 </v>
      </c>
    </row>
    <row r="45" spans="1:12" ht="39.950000000000003" customHeight="1" x14ac:dyDescent="0.25">
      <c r="A45" s="6" t="s">
        <v>4139</v>
      </c>
      <c r="B45" s="7" t="s">
        <v>4140</v>
      </c>
      <c r="C45" s="8">
        <v>2</v>
      </c>
      <c r="D45" s="9">
        <v>59.98</v>
      </c>
      <c r="E45" s="8" t="s">
        <v>4141</v>
      </c>
      <c r="F45" s="7" t="s">
        <v>3477</v>
      </c>
      <c r="G45" s="10"/>
      <c r="H45" s="7" t="s">
        <v>3412</v>
      </c>
      <c r="I45" s="7" t="s">
        <v>3413</v>
      </c>
      <c r="J45" s="7" t="s">
        <v>3358</v>
      </c>
      <c r="K45" s="7" t="s">
        <v>4098</v>
      </c>
      <c r="L45" s="11" t="str">
        <f>HYPERLINK("http://slimages.macys.com/is/image/MCY/9700679 ")</f>
        <v xml:space="preserve">http://slimages.macys.com/is/image/MCY/9700679 </v>
      </c>
    </row>
    <row r="46" spans="1:12" ht="39.950000000000003" customHeight="1" x14ac:dyDescent="0.25">
      <c r="A46" s="6" t="s">
        <v>516</v>
      </c>
      <c r="B46" s="7" t="s">
        <v>517</v>
      </c>
      <c r="C46" s="8">
        <v>1</v>
      </c>
      <c r="D46" s="9">
        <v>22.99</v>
      </c>
      <c r="E46" s="8" t="s">
        <v>518</v>
      </c>
      <c r="F46" s="7" t="s">
        <v>4219</v>
      </c>
      <c r="G46" s="10"/>
      <c r="H46" s="7" t="s">
        <v>3515</v>
      </c>
      <c r="I46" s="7" t="s">
        <v>3707</v>
      </c>
      <c r="J46" s="7" t="s">
        <v>3358</v>
      </c>
      <c r="K46" s="7" t="s">
        <v>3901</v>
      </c>
      <c r="L46" s="11" t="str">
        <f>HYPERLINK("http://slimages.macys.com/is/image/MCY/13533939 ")</f>
        <v xml:space="preserve">http://slimages.macys.com/is/image/MCY/13533939 </v>
      </c>
    </row>
    <row r="47" spans="1:12" ht="39.950000000000003" customHeight="1" x14ac:dyDescent="0.25">
      <c r="A47" s="6" t="s">
        <v>3233</v>
      </c>
      <c r="B47" s="7" t="s">
        <v>3234</v>
      </c>
      <c r="C47" s="8">
        <v>2</v>
      </c>
      <c r="D47" s="9">
        <v>59.98</v>
      </c>
      <c r="E47" s="8" t="s">
        <v>3235</v>
      </c>
      <c r="F47" s="7" t="s">
        <v>3363</v>
      </c>
      <c r="G47" s="10" t="s">
        <v>3532</v>
      </c>
      <c r="H47" s="7" t="s">
        <v>3482</v>
      </c>
      <c r="I47" s="7" t="s">
        <v>3618</v>
      </c>
      <c r="J47" s="7" t="s">
        <v>3358</v>
      </c>
      <c r="K47" s="7" t="s">
        <v>3521</v>
      </c>
      <c r="L47" s="11" t="str">
        <f>HYPERLINK("http://slimages.macys.com/is/image/MCY/13285480 ")</f>
        <v xml:space="preserve">http://slimages.macys.com/is/image/MCY/13285480 </v>
      </c>
    </row>
    <row r="48" spans="1:12" ht="39.950000000000003" customHeight="1" x14ac:dyDescent="0.25">
      <c r="A48" s="6" t="s">
        <v>519</v>
      </c>
      <c r="B48" s="7" t="s">
        <v>520</v>
      </c>
      <c r="C48" s="8">
        <v>1</v>
      </c>
      <c r="D48" s="9">
        <v>16.989999999999998</v>
      </c>
      <c r="E48" s="8" t="s">
        <v>521</v>
      </c>
      <c r="F48" s="7" t="s">
        <v>3371</v>
      </c>
      <c r="G48" s="10"/>
      <c r="H48" s="7" t="s">
        <v>3526</v>
      </c>
      <c r="I48" s="7" t="s">
        <v>3527</v>
      </c>
      <c r="J48" s="7" t="s">
        <v>3358</v>
      </c>
      <c r="K48" s="7" t="s">
        <v>3390</v>
      </c>
      <c r="L48" s="11" t="str">
        <f>HYPERLINK("http://slimages.macys.com/is/image/MCY/8967150 ")</f>
        <v xml:space="preserve">http://slimages.macys.com/is/image/MCY/8967150 </v>
      </c>
    </row>
    <row r="49" spans="1:12" ht="39.950000000000003" customHeight="1" x14ac:dyDescent="0.25">
      <c r="A49" s="6" t="s">
        <v>522</v>
      </c>
      <c r="B49" s="7" t="s">
        <v>523</v>
      </c>
      <c r="C49" s="8">
        <v>1</v>
      </c>
      <c r="D49" s="9">
        <v>22.99</v>
      </c>
      <c r="E49" s="8" t="s">
        <v>524</v>
      </c>
      <c r="F49" s="7" t="s">
        <v>3363</v>
      </c>
      <c r="G49" s="10"/>
      <c r="H49" s="7" t="s">
        <v>3412</v>
      </c>
      <c r="I49" s="7" t="s">
        <v>1937</v>
      </c>
      <c r="J49" s="7" t="s">
        <v>3358</v>
      </c>
      <c r="K49" s="7" t="s">
        <v>3390</v>
      </c>
      <c r="L49" s="11" t="str">
        <f>HYPERLINK("http://slimages.macys.com/is/image/MCY/10181919 ")</f>
        <v xml:space="preserve">http://slimages.macys.com/is/image/MCY/10181919 </v>
      </c>
    </row>
    <row r="50" spans="1:12" ht="39.950000000000003" customHeight="1" x14ac:dyDescent="0.25">
      <c r="A50" s="6" t="s">
        <v>525</v>
      </c>
      <c r="B50" s="7" t="s">
        <v>526</v>
      </c>
      <c r="C50" s="8">
        <v>1</v>
      </c>
      <c r="D50" s="9">
        <v>19.989999999999998</v>
      </c>
      <c r="E50" s="8" t="s">
        <v>527</v>
      </c>
      <c r="F50" s="7" t="s">
        <v>3363</v>
      </c>
      <c r="G50" s="10"/>
      <c r="H50" s="7" t="s">
        <v>3471</v>
      </c>
      <c r="I50" s="7" t="s">
        <v>3378</v>
      </c>
      <c r="J50" s="7" t="s">
        <v>3358</v>
      </c>
      <c r="K50" s="7"/>
      <c r="L50" s="11" t="str">
        <f>HYPERLINK("http://slimages.macys.com/is/image/MCY/15709914 ")</f>
        <v xml:space="preserve">http://slimages.macys.com/is/image/MCY/15709914 </v>
      </c>
    </row>
    <row r="51" spans="1:12" ht="39.950000000000003" customHeight="1" x14ac:dyDescent="0.25">
      <c r="A51" s="6" t="s">
        <v>528</v>
      </c>
      <c r="B51" s="7" t="s">
        <v>529</v>
      </c>
      <c r="C51" s="8">
        <v>1</v>
      </c>
      <c r="D51" s="9">
        <v>15.99</v>
      </c>
      <c r="E51" s="8" t="s">
        <v>530</v>
      </c>
      <c r="F51" s="7" t="s">
        <v>3477</v>
      </c>
      <c r="G51" s="10" t="s">
        <v>3453</v>
      </c>
      <c r="H51" s="7" t="s">
        <v>3492</v>
      </c>
      <c r="I51" s="7" t="s">
        <v>3423</v>
      </c>
      <c r="J51" s="7" t="s">
        <v>3358</v>
      </c>
      <c r="K51" s="7"/>
      <c r="L51" s="11" t="str">
        <f>HYPERLINK("http://slimages.macys.com/is/image/MCY/8223041 ")</f>
        <v xml:space="preserve">http://slimages.macys.com/is/image/MCY/8223041 </v>
      </c>
    </row>
    <row r="52" spans="1:12" ht="39.950000000000003" customHeight="1" x14ac:dyDescent="0.25">
      <c r="A52" s="6" t="s">
        <v>531</v>
      </c>
      <c r="B52" s="7" t="s">
        <v>532</v>
      </c>
      <c r="C52" s="8">
        <v>2</v>
      </c>
      <c r="D52" s="9">
        <v>27.98</v>
      </c>
      <c r="E52" s="8" t="s">
        <v>4009</v>
      </c>
      <c r="F52" s="7" t="s">
        <v>3363</v>
      </c>
      <c r="G52" s="10"/>
      <c r="H52" s="7" t="s">
        <v>3526</v>
      </c>
      <c r="I52" s="7" t="s">
        <v>4010</v>
      </c>
      <c r="J52" s="7" t="s">
        <v>3358</v>
      </c>
      <c r="K52" s="7" t="s">
        <v>4011</v>
      </c>
      <c r="L52" s="11" t="str">
        <f>HYPERLINK("http://slimages.macys.com/is/image/MCY/10683271 ")</f>
        <v xml:space="preserve">http://slimages.macys.com/is/image/MCY/10683271 </v>
      </c>
    </row>
    <row r="53" spans="1:12" ht="39.950000000000003" customHeight="1" x14ac:dyDescent="0.25">
      <c r="A53" s="6" t="s">
        <v>533</v>
      </c>
      <c r="B53" s="7" t="s">
        <v>534</v>
      </c>
      <c r="C53" s="8">
        <v>1</v>
      </c>
      <c r="D53" s="9">
        <v>19.989999999999998</v>
      </c>
      <c r="E53" s="8" t="s">
        <v>535</v>
      </c>
      <c r="F53" s="7" t="s">
        <v>3363</v>
      </c>
      <c r="G53" s="10" t="s">
        <v>3774</v>
      </c>
      <c r="H53" s="7" t="s">
        <v>3482</v>
      </c>
      <c r="I53" s="7" t="s">
        <v>3618</v>
      </c>
      <c r="J53" s="7" t="s">
        <v>3358</v>
      </c>
      <c r="K53" s="7" t="s">
        <v>3582</v>
      </c>
      <c r="L53" s="11" t="str">
        <f>HYPERLINK("http://slimages.macys.com/is/image/MCY/13285490 ")</f>
        <v xml:space="preserve">http://slimages.macys.com/is/image/MCY/13285490 </v>
      </c>
    </row>
    <row r="54" spans="1:12" ht="39.950000000000003" customHeight="1" x14ac:dyDescent="0.25">
      <c r="A54" s="6" t="s">
        <v>536</v>
      </c>
      <c r="B54" s="7" t="s">
        <v>537</v>
      </c>
      <c r="C54" s="8">
        <v>1</v>
      </c>
      <c r="D54" s="9">
        <v>9.99</v>
      </c>
      <c r="E54" s="8" t="s">
        <v>538</v>
      </c>
      <c r="F54" s="7" t="s">
        <v>3542</v>
      </c>
      <c r="G54" s="10"/>
      <c r="H54" s="7" t="s">
        <v>3471</v>
      </c>
      <c r="I54" s="7" t="s">
        <v>3761</v>
      </c>
      <c r="J54" s="7" t="s">
        <v>3751</v>
      </c>
      <c r="K54" s="7" t="s">
        <v>539</v>
      </c>
      <c r="L54" s="11" t="str">
        <f>HYPERLINK("http://slimages.macys.com/is/image/MCY/2831820 ")</f>
        <v xml:space="preserve">http://slimages.macys.com/is/image/MCY/2831820 </v>
      </c>
    </row>
    <row r="55" spans="1:12" ht="39.950000000000003" customHeight="1" x14ac:dyDescent="0.25">
      <c r="A55" s="6" t="s">
        <v>540</v>
      </c>
      <c r="B55" s="7" t="s">
        <v>541</v>
      </c>
      <c r="C55" s="8">
        <v>1</v>
      </c>
      <c r="D55" s="9">
        <v>16.989999999999998</v>
      </c>
      <c r="E55" s="8" t="s">
        <v>542</v>
      </c>
      <c r="F55" s="7" t="s">
        <v>3384</v>
      </c>
      <c r="G55" s="10" t="s">
        <v>543</v>
      </c>
      <c r="H55" s="7" t="s">
        <v>3492</v>
      </c>
      <c r="I55" s="7" t="s">
        <v>3938</v>
      </c>
      <c r="J55" s="7" t="s">
        <v>3358</v>
      </c>
      <c r="K55" s="7" t="s">
        <v>3506</v>
      </c>
      <c r="L55" s="11" t="str">
        <f>HYPERLINK("http://slimages.macys.com/is/image/MCY/12265629 ")</f>
        <v xml:space="preserve">http://slimages.macys.com/is/image/MCY/12265629 </v>
      </c>
    </row>
    <row r="56" spans="1:12" ht="39.950000000000003" customHeight="1" x14ac:dyDescent="0.25">
      <c r="A56" s="6" t="s">
        <v>544</v>
      </c>
      <c r="B56" s="7" t="s">
        <v>545</v>
      </c>
      <c r="C56" s="8">
        <v>1</v>
      </c>
      <c r="D56" s="9">
        <v>9.99</v>
      </c>
      <c r="E56" s="8" t="s">
        <v>546</v>
      </c>
      <c r="F56" s="7" t="s">
        <v>3925</v>
      </c>
      <c r="G56" s="10" t="s">
        <v>1706</v>
      </c>
      <c r="H56" s="7" t="s">
        <v>3526</v>
      </c>
      <c r="I56" s="7" t="s">
        <v>3722</v>
      </c>
      <c r="J56" s="7" t="s">
        <v>3358</v>
      </c>
      <c r="K56" s="7" t="s">
        <v>547</v>
      </c>
      <c r="L56" s="11" t="str">
        <f>HYPERLINK("http://slimages.macys.com/is/image/MCY/13347165 ")</f>
        <v xml:space="preserve">http://slimages.macys.com/is/image/MCY/13347165 </v>
      </c>
    </row>
    <row r="57" spans="1:12" ht="39.950000000000003" customHeight="1" x14ac:dyDescent="0.25">
      <c r="A57" s="6" t="s">
        <v>548</v>
      </c>
      <c r="B57" s="7" t="s">
        <v>549</v>
      </c>
      <c r="C57" s="8">
        <v>1</v>
      </c>
      <c r="D57" s="9">
        <v>10.99</v>
      </c>
      <c r="E57" s="8" t="s">
        <v>550</v>
      </c>
      <c r="F57" s="7" t="s">
        <v>3371</v>
      </c>
      <c r="G57" s="10" t="s">
        <v>551</v>
      </c>
      <c r="H57" s="7" t="s">
        <v>3388</v>
      </c>
      <c r="I57" s="7" t="s">
        <v>2964</v>
      </c>
      <c r="J57" s="7"/>
      <c r="K57" s="7"/>
      <c r="L57" s="11" t="str">
        <f>HYPERLINK("http://slimages.macys.com/is/image/MCY/17993414 ")</f>
        <v xml:space="preserve">http://slimages.macys.com/is/image/MCY/17993414 </v>
      </c>
    </row>
    <row r="58" spans="1:12" ht="39.950000000000003" customHeight="1" x14ac:dyDescent="0.25">
      <c r="A58" s="6" t="s">
        <v>552</v>
      </c>
      <c r="B58" s="7" t="s">
        <v>553</v>
      </c>
      <c r="C58" s="8">
        <v>1</v>
      </c>
      <c r="D58" s="9">
        <v>12.99</v>
      </c>
      <c r="E58" s="8" t="s">
        <v>554</v>
      </c>
      <c r="F58" s="7" t="s">
        <v>3396</v>
      </c>
      <c r="G58" s="10" t="s">
        <v>3774</v>
      </c>
      <c r="H58" s="7" t="s">
        <v>3482</v>
      </c>
      <c r="I58" s="7" t="s">
        <v>3618</v>
      </c>
      <c r="J58" s="7" t="s">
        <v>3358</v>
      </c>
      <c r="K58" s="7" t="s">
        <v>3484</v>
      </c>
      <c r="L58" s="11" t="str">
        <f>HYPERLINK("http://slimages.macys.com/is/image/MCY/12737814 ")</f>
        <v xml:space="preserve">http://slimages.macys.com/is/image/MCY/12737814 </v>
      </c>
    </row>
    <row r="59" spans="1:12" ht="39.950000000000003" customHeight="1" x14ac:dyDescent="0.25">
      <c r="A59" s="6" t="s">
        <v>3255</v>
      </c>
      <c r="B59" s="7" t="s">
        <v>3256</v>
      </c>
      <c r="C59" s="8">
        <v>2</v>
      </c>
      <c r="D59" s="9">
        <v>19.98</v>
      </c>
      <c r="E59" s="8" t="s">
        <v>3257</v>
      </c>
      <c r="F59" s="7" t="s">
        <v>3363</v>
      </c>
      <c r="G59" s="10" t="s">
        <v>4192</v>
      </c>
      <c r="H59" s="7" t="s">
        <v>3482</v>
      </c>
      <c r="I59" s="7" t="s">
        <v>3618</v>
      </c>
      <c r="J59" s="7" t="s">
        <v>3358</v>
      </c>
      <c r="K59" s="7" t="s">
        <v>3582</v>
      </c>
      <c r="L59" s="11" t="str">
        <f>HYPERLINK("http://slimages.macys.com/is/image/MCY/13285497 ")</f>
        <v xml:space="preserve">http://slimages.macys.com/is/image/MCY/13285497 </v>
      </c>
    </row>
    <row r="60" spans="1:12" ht="39.950000000000003" customHeight="1" x14ac:dyDescent="0.25">
      <c r="A60" s="6" t="s">
        <v>3540</v>
      </c>
      <c r="B60" s="7" t="s">
        <v>3541</v>
      </c>
      <c r="C60" s="8">
        <v>7</v>
      </c>
      <c r="D60" s="9">
        <v>280</v>
      </c>
      <c r="E60" s="8"/>
      <c r="F60" s="7" t="s">
        <v>3542</v>
      </c>
      <c r="G60" s="10" t="s">
        <v>3504</v>
      </c>
      <c r="H60" s="7" t="s">
        <v>3543</v>
      </c>
      <c r="I60" s="7" t="s">
        <v>3544</v>
      </c>
      <c r="J60" s="7"/>
      <c r="K60" s="7"/>
      <c r="L60" s="11"/>
    </row>
  </sheetData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3352</v>
      </c>
      <c r="B2" s="7" t="s">
        <v>3353</v>
      </c>
      <c r="C2" s="8">
        <v>1</v>
      </c>
      <c r="D2" s="9">
        <v>239.99</v>
      </c>
      <c r="E2" s="8" t="s">
        <v>3354</v>
      </c>
      <c r="F2" s="7" t="s">
        <v>3355</v>
      </c>
      <c r="G2" s="10"/>
      <c r="H2" s="7" t="s">
        <v>3356</v>
      </c>
      <c r="I2" s="7" t="s">
        <v>3357</v>
      </c>
      <c r="J2" s="7" t="s">
        <v>3358</v>
      </c>
      <c r="K2" s="7" t="s">
        <v>3359</v>
      </c>
      <c r="L2" s="11" t="str">
        <f>HYPERLINK("http://slimages.macys.com/is/image/MCY/8061723 ")</f>
        <v xml:space="preserve">http://slimages.macys.com/is/image/MCY/8061723 </v>
      </c>
    </row>
    <row r="3" spans="1:12" ht="39.950000000000003" customHeight="1" x14ac:dyDescent="0.25">
      <c r="A3" s="6" t="s">
        <v>3360</v>
      </c>
      <c r="B3" s="7" t="s">
        <v>3361</v>
      </c>
      <c r="C3" s="8">
        <v>1</v>
      </c>
      <c r="D3" s="9">
        <v>299.99</v>
      </c>
      <c r="E3" s="8" t="s">
        <v>3362</v>
      </c>
      <c r="F3" s="7" t="s">
        <v>3363</v>
      </c>
      <c r="G3" s="10" t="s">
        <v>3364</v>
      </c>
      <c r="H3" s="7" t="s">
        <v>3365</v>
      </c>
      <c r="I3" s="7" t="s">
        <v>3366</v>
      </c>
      <c r="J3" s="7" t="s">
        <v>3358</v>
      </c>
      <c r="K3" s="7" t="s">
        <v>3367</v>
      </c>
      <c r="L3" s="11" t="str">
        <f>HYPERLINK("http://slimages.macys.com/is/image/MCY/11953123 ")</f>
        <v xml:space="preserve">http://slimages.macys.com/is/image/MCY/11953123 </v>
      </c>
    </row>
    <row r="4" spans="1:12" ht="39.950000000000003" customHeight="1" x14ac:dyDescent="0.25">
      <c r="A4" s="6" t="s">
        <v>3368</v>
      </c>
      <c r="B4" s="7" t="s">
        <v>3369</v>
      </c>
      <c r="C4" s="8">
        <v>1</v>
      </c>
      <c r="D4" s="9">
        <v>168.99</v>
      </c>
      <c r="E4" s="8" t="s">
        <v>3370</v>
      </c>
      <c r="F4" s="7" t="s">
        <v>3371</v>
      </c>
      <c r="G4" s="10"/>
      <c r="H4" s="7" t="s">
        <v>3372</v>
      </c>
      <c r="I4" s="7" t="s">
        <v>3373</v>
      </c>
      <c r="J4" s="7"/>
      <c r="K4" s="7"/>
      <c r="L4" s="11" t="str">
        <f>HYPERLINK("http://slimages.macys.com/is/image/MCY/16944223 ")</f>
        <v xml:space="preserve">http://slimages.macys.com/is/image/MCY/16944223 </v>
      </c>
    </row>
    <row r="5" spans="1:12" ht="39.950000000000003" customHeight="1" x14ac:dyDescent="0.25">
      <c r="A5" s="6" t="s">
        <v>3374</v>
      </c>
      <c r="B5" s="7" t="s">
        <v>3375</v>
      </c>
      <c r="C5" s="8">
        <v>1</v>
      </c>
      <c r="D5" s="9">
        <v>199.99</v>
      </c>
      <c r="E5" s="8" t="s">
        <v>3376</v>
      </c>
      <c r="F5" s="7" t="s">
        <v>3363</v>
      </c>
      <c r="G5" s="10"/>
      <c r="H5" s="7" t="s">
        <v>3377</v>
      </c>
      <c r="I5" s="7" t="s">
        <v>3378</v>
      </c>
      <c r="J5" s="7" t="s">
        <v>3379</v>
      </c>
      <c r="K5" s="7" t="s">
        <v>3380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3381</v>
      </c>
      <c r="B6" s="7" t="s">
        <v>3382</v>
      </c>
      <c r="C6" s="8">
        <v>1</v>
      </c>
      <c r="D6" s="9">
        <v>249.99</v>
      </c>
      <c r="E6" s="8" t="s">
        <v>3383</v>
      </c>
      <c r="F6" s="7" t="s">
        <v>3384</v>
      </c>
      <c r="G6" s="10" t="s">
        <v>3364</v>
      </c>
      <c r="H6" s="7" t="s">
        <v>3365</v>
      </c>
      <c r="I6" s="7" t="s">
        <v>3385</v>
      </c>
      <c r="J6" s="7"/>
      <c r="K6" s="7"/>
      <c r="L6" s="11" t="str">
        <f>HYPERLINK("http://slimages.macys.com/is/image/MCY/17793762 ")</f>
        <v xml:space="preserve">http://slimages.macys.com/is/image/MCY/17793762 </v>
      </c>
    </row>
    <row r="7" spans="1:12" ht="39.950000000000003" customHeight="1" x14ac:dyDescent="0.25">
      <c r="A7" s="6" t="s">
        <v>3386</v>
      </c>
      <c r="B7" s="7" t="s">
        <v>3387</v>
      </c>
      <c r="C7" s="8">
        <v>1</v>
      </c>
      <c r="D7" s="9">
        <v>149.99</v>
      </c>
      <c r="E7" s="8">
        <v>61133</v>
      </c>
      <c r="F7" s="7" t="s">
        <v>3363</v>
      </c>
      <c r="G7" s="10"/>
      <c r="H7" s="7" t="s">
        <v>3388</v>
      </c>
      <c r="I7" s="7" t="s">
        <v>3389</v>
      </c>
      <c r="J7" s="7" t="s">
        <v>3358</v>
      </c>
      <c r="K7" s="7" t="s">
        <v>3390</v>
      </c>
      <c r="L7" s="11" t="str">
        <f>HYPERLINK("http://slimages.macys.com/is/image/MCY/15866419 ")</f>
        <v xml:space="preserve">http://slimages.macys.com/is/image/MCY/15866419 </v>
      </c>
    </row>
    <row r="8" spans="1:12" ht="39.950000000000003" customHeight="1" x14ac:dyDescent="0.25">
      <c r="A8" s="6" t="s">
        <v>3391</v>
      </c>
      <c r="B8" s="7" t="s">
        <v>3392</v>
      </c>
      <c r="C8" s="8">
        <v>1</v>
      </c>
      <c r="D8" s="9">
        <v>129.99</v>
      </c>
      <c r="E8" s="8">
        <v>61132</v>
      </c>
      <c r="F8" s="7" t="s">
        <v>3363</v>
      </c>
      <c r="G8" s="10"/>
      <c r="H8" s="7" t="s">
        <v>3388</v>
      </c>
      <c r="I8" s="7" t="s">
        <v>3389</v>
      </c>
      <c r="J8" s="7" t="s">
        <v>3358</v>
      </c>
      <c r="K8" s="7" t="s">
        <v>3390</v>
      </c>
      <c r="L8" s="11" t="str">
        <f>HYPERLINK("http://slimages.macys.com/is/image/MCY/15866409 ")</f>
        <v xml:space="preserve">http://slimages.macys.com/is/image/MCY/15866409 </v>
      </c>
    </row>
    <row r="9" spans="1:12" ht="39.950000000000003" customHeight="1" x14ac:dyDescent="0.25">
      <c r="A9" s="6" t="s">
        <v>3393</v>
      </c>
      <c r="B9" s="7" t="s">
        <v>3394</v>
      </c>
      <c r="C9" s="8">
        <v>1</v>
      </c>
      <c r="D9" s="9">
        <v>99.99</v>
      </c>
      <c r="E9" s="8" t="s">
        <v>3395</v>
      </c>
      <c r="F9" s="7" t="s">
        <v>3396</v>
      </c>
      <c r="G9" s="10"/>
      <c r="H9" s="7" t="s">
        <v>3397</v>
      </c>
      <c r="I9" s="7" t="s">
        <v>3398</v>
      </c>
      <c r="J9" s="7"/>
      <c r="K9" s="7"/>
      <c r="L9" s="11" t="str">
        <f>HYPERLINK("http://slimages.macys.com/is/image/MCY/17407291 ")</f>
        <v xml:space="preserve">http://slimages.macys.com/is/image/MCY/17407291 </v>
      </c>
    </row>
    <row r="10" spans="1:12" ht="39.950000000000003" customHeight="1" x14ac:dyDescent="0.25">
      <c r="A10" s="6" t="s">
        <v>3399</v>
      </c>
      <c r="B10" s="7" t="s">
        <v>3400</v>
      </c>
      <c r="C10" s="8">
        <v>1</v>
      </c>
      <c r="D10" s="9">
        <v>169.99</v>
      </c>
      <c r="E10" s="8" t="s">
        <v>3401</v>
      </c>
      <c r="F10" s="7" t="s">
        <v>3363</v>
      </c>
      <c r="G10" s="10"/>
      <c r="H10" s="7" t="s">
        <v>3365</v>
      </c>
      <c r="I10" s="7" t="s">
        <v>3402</v>
      </c>
      <c r="J10" s="7" t="s">
        <v>3358</v>
      </c>
      <c r="K10" s="7" t="s">
        <v>3403</v>
      </c>
      <c r="L10" s="11" t="str">
        <f>HYPERLINK("http://slimages.macys.com/is/image/MCY/3573212 ")</f>
        <v xml:space="preserve">http://slimages.macys.com/is/image/MCY/3573212 </v>
      </c>
    </row>
    <row r="11" spans="1:12" ht="39.950000000000003" customHeight="1" x14ac:dyDescent="0.25">
      <c r="A11" s="6" t="s">
        <v>3404</v>
      </c>
      <c r="B11" s="7" t="s">
        <v>3405</v>
      </c>
      <c r="C11" s="8">
        <v>1</v>
      </c>
      <c r="D11" s="9">
        <v>99.99</v>
      </c>
      <c r="E11" s="8" t="s">
        <v>3406</v>
      </c>
      <c r="F11" s="7" t="s">
        <v>3407</v>
      </c>
      <c r="G11" s="10"/>
      <c r="H11" s="7" t="s">
        <v>3408</v>
      </c>
      <c r="I11" s="7" t="s">
        <v>3409</v>
      </c>
      <c r="J11" s="7"/>
      <c r="K11" s="7"/>
      <c r="L11" s="11" t="str">
        <f>HYPERLINK("http://slimages.macys.com/is/image/MCY/18159733 ")</f>
        <v xml:space="preserve">http://slimages.macys.com/is/image/MCY/18159733 </v>
      </c>
    </row>
    <row r="12" spans="1:12" ht="39.950000000000003" customHeight="1" x14ac:dyDescent="0.25">
      <c r="A12" s="6" t="s">
        <v>3410</v>
      </c>
      <c r="B12" s="7" t="s">
        <v>3411</v>
      </c>
      <c r="C12" s="8">
        <v>1</v>
      </c>
      <c r="D12" s="9">
        <v>99.99</v>
      </c>
      <c r="E12" s="8">
        <v>22338322</v>
      </c>
      <c r="F12" s="7" t="s">
        <v>3363</v>
      </c>
      <c r="G12" s="10"/>
      <c r="H12" s="7" t="s">
        <v>3412</v>
      </c>
      <c r="I12" s="7" t="s">
        <v>3413</v>
      </c>
      <c r="J12" s="7"/>
      <c r="K12" s="7"/>
      <c r="L12" s="11" t="str">
        <f>HYPERLINK("http://slimages.macys.com/is/image/MCY/17862566 ")</f>
        <v xml:space="preserve">http://slimages.macys.com/is/image/MCY/17862566 </v>
      </c>
    </row>
    <row r="13" spans="1:12" ht="39.950000000000003" customHeight="1" x14ac:dyDescent="0.25">
      <c r="A13" s="6" t="s">
        <v>3414</v>
      </c>
      <c r="B13" s="7" t="s">
        <v>3415</v>
      </c>
      <c r="C13" s="8">
        <v>1</v>
      </c>
      <c r="D13" s="9">
        <v>99.99</v>
      </c>
      <c r="E13" s="8" t="s">
        <v>3416</v>
      </c>
      <c r="F13" s="7" t="s">
        <v>3417</v>
      </c>
      <c r="G13" s="10"/>
      <c r="H13" s="7" t="s">
        <v>3418</v>
      </c>
      <c r="I13" s="7" t="s">
        <v>3419</v>
      </c>
      <c r="J13" s="7"/>
      <c r="K13" s="7"/>
      <c r="L13" s="11" t="str">
        <f>HYPERLINK("http://slimages.macys.com/is/image/MCY/18097083 ")</f>
        <v xml:space="preserve">http://slimages.macys.com/is/image/MCY/18097083 </v>
      </c>
    </row>
    <row r="14" spans="1:12" ht="39.950000000000003" customHeight="1" x14ac:dyDescent="0.25">
      <c r="A14" s="6" t="s">
        <v>3420</v>
      </c>
      <c r="B14" s="7" t="s">
        <v>3421</v>
      </c>
      <c r="C14" s="8">
        <v>1</v>
      </c>
      <c r="D14" s="9">
        <v>44.99</v>
      </c>
      <c r="E14" s="8">
        <v>4402</v>
      </c>
      <c r="F14" s="7" t="s">
        <v>3363</v>
      </c>
      <c r="G14" s="10"/>
      <c r="H14" s="7" t="s">
        <v>3422</v>
      </c>
      <c r="I14" s="7" t="s">
        <v>3423</v>
      </c>
      <c r="J14" s="7" t="s">
        <v>3358</v>
      </c>
      <c r="K14" s="7"/>
      <c r="L14" s="11" t="str">
        <f>HYPERLINK("http://slimages.macys.com/is/image/MCY/9873929 ")</f>
        <v xml:space="preserve">http://slimages.macys.com/is/image/MCY/9873929 </v>
      </c>
    </row>
    <row r="15" spans="1:12" ht="39.950000000000003" customHeight="1" x14ac:dyDescent="0.25">
      <c r="A15" s="6" t="s">
        <v>3424</v>
      </c>
      <c r="B15" s="7" t="s">
        <v>3425</v>
      </c>
      <c r="C15" s="8">
        <v>1</v>
      </c>
      <c r="D15" s="9">
        <v>74.989999999999995</v>
      </c>
      <c r="E15" s="8">
        <v>174708</v>
      </c>
      <c r="F15" s="7" t="s">
        <v>3426</v>
      </c>
      <c r="G15" s="10"/>
      <c r="H15" s="7" t="s">
        <v>3427</v>
      </c>
      <c r="I15" s="7" t="s">
        <v>3423</v>
      </c>
      <c r="J15" s="7" t="s">
        <v>3358</v>
      </c>
      <c r="K15" s="7" t="s">
        <v>3390</v>
      </c>
      <c r="L15" s="11" t="str">
        <f>HYPERLINK("http://slimages.macys.com/is/image/MCY/13287022 ")</f>
        <v xml:space="preserve">http://slimages.macys.com/is/image/MCY/13287022 </v>
      </c>
    </row>
    <row r="16" spans="1:12" ht="39.950000000000003" customHeight="1" x14ac:dyDescent="0.25">
      <c r="A16" s="6" t="s">
        <v>3428</v>
      </c>
      <c r="B16" s="7" t="s">
        <v>3429</v>
      </c>
      <c r="C16" s="8">
        <v>1</v>
      </c>
      <c r="D16" s="9">
        <v>79.989999999999995</v>
      </c>
      <c r="E16" s="8" t="s">
        <v>3430</v>
      </c>
      <c r="F16" s="7" t="s">
        <v>3363</v>
      </c>
      <c r="G16" s="10"/>
      <c r="H16" s="7" t="s">
        <v>3431</v>
      </c>
      <c r="I16" s="7" t="s">
        <v>3432</v>
      </c>
      <c r="J16" s="7" t="s">
        <v>3358</v>
      </c>
      <c r="K16" s="7"/>
      <c r="L16" s="11" t="str">
        <f>HYPERLINK("http://slimages.macys.com/is/image/MCY/8670787 ")</f>
        <v xml:space="preserve">http://slimages.macys.com/is/image/MCY/8670787 </v>
      </c>
    </row>
    <row r="17" spans="1:12" ht="39.950000000000003" customHeight="1" x14ac:dyDescent="0.25">
      <c r="A17" s="6" t="s">
        <v>3433</v>
      </c>
      <c r="B17" s="7" t="s">
        <v>3434</v>
      </c>
      <c r="C17" s="8">
        <v>1</v>
      </c>
      <c r="D17" s="9">
        <v>64.989999999999995</v>
      </c>
      <c r="E17" s="8" t="s">
        <v>3435</v>
      </c>
      <c r="F17" s="7" t="s">
        <v>3384</v>
      </c>
      <c r="G17" s="10"/>
      <c r="H17" s="7" t="s">
        <v>3372</v>
      </c>
      <c r="I17" s="7" t="s">
        <v>3436</v>
      </c>
      <c r="J17" s="7" t="s">
        <v>3358</v>
      </c>
      <c r="K17" s="7"/>
      <c r="L17" s="11" t="str">
        <f>HYPERLINK("http://slimages.macys.com/is/image/MCY/9352125 ")</f>
        <v xml:space="preserve">http://slimages.macys.com/is/image/MCY/9352125 </v>
      </c>
    </row>
    <row r="18" spans="1:12" ht="39.950000000000003" customHeight="1" x14ac:dyDescent="0.25">
      <c r="A18" s="6" t="s">
        <v>3437</v>
      </c>
      <c r="B18" s="7" t="s">
        <v>3438</v>
      </c>
      <c r="C18" s="8">
        <v>1</v>
      </c>
      <c r="D18" s="9">
        <v>129.99</v>
      </c>
      <c r="E18" s="8" t="s">
        <v>3439</v>
      </c>
      <c r="F18" s="7" t="s">
        <v>3363</v>
      </c>
      <c r="G18" s="10"/>
      <c r="H18" s="7" t="s">
        <v>3365</v>
      </c>
      <c r="I18" s="7" t="s">
        <v>3366</v>
      </c>
      <c r="J18" s="7" t="s">
        <v>3358</v>
      </c>
      <c r="K18" s="7"/>
      <c r="L18" s="11" t="str">
        <f>HYPERLINK("http://slimages.macys.com/is/image/MCY/8152581 ")</f>
        <v xml:space="preserve">http://slimages.macys.com/is/image/MCY/8152581 </v>
      </c>
    </row>
    <row r="19" spans="1:12" ht="39.950000000000003" customHeight="1" x14ac:dyDescent="0.25">
      <c r="A19" s="6" t="s">
        <v>3440</v>
      </c>
      <c r="B19" s="7" t="s">
        <v>3441</v>
      </c>
      <c r="C19" s="8">
        <v>1</v>
      </c>
      <c r="D19" s="9">
        <v>109.99</v>
      </c>
      <c r="E19" s="8" t="s">
        <v>3442</v>
      </c>
      <c r="F19" s="7" t="s">
        <v>3443</v>
      </c>
      <c r="G19" s="10"/>
      <c r="H19" s="7" t="s">
        <v>3365</v>
      </c>
      <c r="I19" s="7" t="s">
        <v>3385</v>
      </c>
      <c r="J19" s="7" t="s">
        <v>3358</v>
      </c>
      <c r="K19" s="7"/>
      <c r="L19" s="11" t="str">
        <f>HYPERLINK("http://slimages.macys.com/is/image/MCY/12072123 ")</f>
        <v xml:space="preserve">http://slimages.macys.com/is/image/MCY/12072123 </v>
      </c>
    </row>
    <row r="20" spans="1:12" ht="39.950000000000003" customHeight="1" x14ac:dyDescent="0.25">
      <c r="A20" s="6" t="s">
        <v>3444</v>
      </c>
      <c r="B20" s="7" t="s">
        <v>3445</v>
      </c>
      <c r="C20" s="8">
        <v>1</v>
      </c>
      <c r="D20" s="9">
        <v>49.99</v>
      </c>
      <c r="E20" s="8" t="s">
        <v>3446</v>
      </c>
      <c r="F20" s="7" t="s">
        <v>3371</v>
      </c>
      <c r="G20" s="10" t="s">
        <v>3447</v>
      </c>
      <c r="H20" s="7" t="s">
        <v>3356</v>
      </c>
      <c r="I20" s="7" t="s">
        <v>3448</v>
      </c>
      <c r="J20" s="7" t="s">
        <v>3358</v>
      </c>
      <c r="K20" s="7" t="s">
        <v>3449</v>
      </c>
      <c r="L20" s="11" t="str">
        <f>HYPERLINK("http://slimages.macys.com/is/image/MCY/16197722 ")</f>
        <v xml:space="preserve">http://slimages.macys.com/is/image/MCY/16197722 </v>
      </c>
    </row>
    <row r="21" spans="1:12" ht="39.950000000000003" customHeight="1" x14ac:dyDescent="0.25">
      <c r="A21" s="6" t="s">
        <v>3450</v>
      </c>
      <c r="B21" s="7" t="s">
        <v>3451</v>
      </c>
      <c r="C21" s="8">
        <v>1</v>
      </c>
      <c r="D21" s="9">
        <v>64.989999999999995</v>
      </c>
      <c r="E21" s="8">
        <v>100071429</v>
      </c>
      <c r="F21" s="7" t="s">
        <v>3452</v>
      </c>
      <c r="G21" s="10" t="s">
        <v>3453</v>
      </c>
      <c r="H21" s="7" t="s">
        <v>3454</v>
      </c>
      <c r="I21" s="7" t="s">
        <v>3455</v>
      </c>
      <c r="J21" s="7" t="s">
        <v>3358</v>
      </c>
      <c r="K21" s="7" t="s">
        <v>3456</v>
      </c>
      <c r="L21" s="11" t="str">
        <f>HYPERLINK("http://slimages.macys.com/is/image/MCY/14337696 ")</f>
        <v xml:space="preserve">http://slimages.macys.com/is/image/MCY/14337696 </v>
      </c>
    </row>
    <row r="22" spans="1:12" ht="39.950000000000003" customHeight="1" x14ac:dyDescent="0.25">
      <c r="A22" s="6" t="s">
        <v>3457</v>
      </c>
      <c r="B22" s="7" t="s">
        <v>3458</v>
      </c>
      <c r="C22" s="8">
        <v>2</v>
      </c>
      <c r="D22" s="9">
        <v>109.98</v>
      </c>
      <c r="E22" s="8" t="s">
        <v>3459</v>
      </c>
      <c r="F22" s="7" t="s">
        <v>3363</v>
      </c>
      <c r="G22" s="10" t="s">
        <v>3460</v>
      </c>
      <c r="H22" s="7" t="s">
        <v>3388</v>
      </c>
      <c r="I22" s="7" t="s">
        <v>3461</v>
      </c>
      <c r="J22" s="7"/>
      <c r="K22" s="7"/>
      <c r="L22" s="11" t="str">
        <f>HYPERLINK("http://slimages.macys.com/is/image/MCY/17546523 ")</f>
        <v xml:space="preserve">http://slimages.macys.com/is/image/MCY/17546523 </v>
      </c>
    </row>
    <row r="23" spans="1:12" ht="39.950000000000003" customHeight="1" x14ac:dyDescent="0.25">
      <c r="A23" s="6" t="s">
        <v>3462</v>
      </c>
      <c r="B23" s="7" t="s">
        <v>3458</v>
      </c>
      <c r="C23" s="8">
        <v>1</v>
      </c>
      <c r="D23" s="9">
        <v>54.99</v>
      </c>
      <c r="E23" s="8" t="s">
        <v>3463</v>
      </c>
      <c r="F23" s="7" t="s">
        <v>3363</v>
      </c>
      <c r="G23" s="10" t="s">
        <v>3460</v>
      </c>
      <c r="H23" s="7" t="s">
        <v>3388</v>
      </c>
      <c r="I23" s="7" t="s">
        <v>3461</v>
      </c>
      <c r="J23" s="7"/>
      <c r="K23" s="7"/>
      <c r="L23" s="11" t="str">
        <f>HYPERLINK("http://slimages.macys.com/is/image/MCY/17546537 ")</f>
        <v xml:space="preserve">http://slimages.macys.com/is/image/MCY/17546537 </v>
      </c>
    </row>
    <row r="24" spans="1:12" ht="39.950000000000003" customHeight="1" x14ac:dyDescent="0.25">
      <c r="A24" s="6" t="s">
        <v>3464</v>
      </c>
      <c r="B24" s="7" t="s">
        <v>3465</v>
      </c>
      <c r="C24" s="8">
        <v>1</v>
      </c>
      <c r="D24" s="9">
        <v>39.99</v>
      </c>
      <c r="E24" s="8" t="s">
        <v>3466</v>
      </c>
      <c r="F24" s="7"/>
      <c r="G24" s="10"/>
      <c r="H24" s="7" t="s">
        <v>3412</v>
      </c>
      <c r="I24" s="7" t="s">
        <v>3467</v>
      </c>
      <c r="J24" s="7" t="s">
        <v>3358</v>
      </c>
      <c r="K24" s="7" t="s">
        <v>3390</v>
      </c>
      <c r="L24" s="11" t="str">
        <f>HYPERLINK("http://slimages.macys.com/is/image/MCY/12325638 ")</f>
        <v xml:space="preserve">http://slimages.macys.com/is/image/MCY/12325638 </v>
      </c>
    </row>
    <row r="25" spans="1:12" ht="39.950000000000003" customHeight="1" x14ac:dyDescent="0.25">
      <c r="A25" s="6" t="s">
        <v>3468</v>
      </c>
      <c r="B25" s="7" t="s">
        <v>3469</v>
      </c>
      <c r="C25" s="8">
        <v>1</v>
      </c>
      <c r="D25" s="9">
        <v>59.99</v>
      </c>
      <c r="E25" s="8" t="s">
        <v>3470</v>
      </c>
      <c r="F25" s="7" t="s">
        <v>3363</v>
      </c>
      <c r="G25" s="10"/>
      <c r="H25" s="7" t="s">
        <v>3471</v>
      </c>
      <c r="I25" s="7" t="s">
        <v>3472</v>
      </c>
      <c r="J25" s="7" t="s">
        <v>3379</v>
      </c>
      <c r="K25" s="7" t="s">
        <v>3473</v>
      </c>
      <c r="L25" s="11" t="str">
        <f>HYPERLINK("http://slimages.macys.com/is/image/MCY/13368404 ")</f>
        <v xml:space="preserve">http://slimages.macys.com/is/image/MCY/13368404 </v>
      </c>
    </row>
    <row r="26" spans="1:12" ht="39.950000000000003" customHeight="1" x14ac:dyDescent="0.25">
      <c r="A26" s="6" t="s">
        <v>3474</v>
      </c>
      <c r="B26" s="7" t="s">
        <v>3475</v>
      </c>
      <c r="C26" s="8">
        <v>1</v>
      </c>
      <c r="D26" s="9">
        <v>47.99</v>
      </c>
      <c r="E26" s="8" t="s">
        <v>3476</v>
      </c>
      <c r="F26" s="7" t="s">
        <v>3477</v>
      </c>
      <c r="G26" s="10" t="s">
        <v>3364</v>
      </c>
      <c r="H26" s="7" t="s">
        <v>3377</v>
      </c>
      <c r="I26" s="7" t="s">
        <v>3478</v>
      </c>
      <c r="J26" s="7" t="s">
        <v>3358</v>
      </c>
      <c r="K26" s="7" t="s">
        <v>3390</v>
      </c>
      <c r="L26" s="11" t="str">
        <f>HYPERLINK("http://slimages.macys.com/is/image/MCY/9489266 ")</f>
        <v xml:space="preserve">http://slimages.macys.com/is/image/MCY/9489266 </v>
      </c>
    </row>
    <row r="27" spans="1:12" ht="39.950000000000003" customHeight="1" x14ac:dyDescent="0.25">
      <c r="A27" s="6" t="s">
        <v>3479</v>
      </c>
      <c r="B27" s="7" t="s">
        <v>3480</v>
      </c>
      <c r="C27" s="8">
        <v>1</v>
      </c>
      <c r="D27" s="9">
        <v>39.99</v>
      </c>
      <c r="E27" s="8">
        <v>1003378700</v>
      </c>
      <c r="F27" s="7" t="s">
        <v>3481</v>
      </c>
      <c r="G27" s="10"/>
      <c r="H27" s="7" t="s">
        <v>3482</v>
      </c>
      <c r="I27" s="7" t="s">
        <v>3483</v>
      </c>
      <c r="J27" s="7" t="s">
        <v>3358</v>
      </c>
      <c r="K27" s="7" t="s">
        <v>3484</v>
      </c>
      <c r="L27" s="11" t="str">
        <f>HYPERLINK("http://slimages.macys.com/is/image/MCY/10132410 ")</f>
        <v xml:space="preserve">http://slimages.macys.com/is/image/MCY/10132410 </v>
      </c>
    </row>
    <row r="28" spans="1:12" ht="39.950000000000003" customHeight="1" x14ac:dyDescent="0.25">
      <c r="A28" s="6" t="s">
        <v>3485</v>
      </c>
      <c r="B28" s="7" t="s">
        <v>3486</v>
      </c>
      <c r="C28" s="8">
        <v>1</v>
      </c>
      <c r="D28" s="9">
        <v>49.99</v>
      </c>
      <c r="E28" s="8" t="s">
        <v>3487</v>
      </c>
      <c r="F28" s="7" t="s">
        <v>3363</v>
      </c>
      <c r="G28" s="10"/>
      <c r="H28" s="7" t="s">
        <v>3471</v>
      </c>
      <c r="I28" s="7" t="s">
        <v>3472</v>
      </c>
      <c r="J28" s="7" t="s">
        <v>3379</v>
      </c>
      <c r="K28" s="7" t="s">
        <v>3473</v>
      </c>
      <c r="L28" s="11" t="str">
        <f>HYPERLINK("http://slimages.macys.com/is/image/MCY/13368404 ")</f>
        <v xml:space="preserve">http://slimages.macys.com/is/image/MCY/13368404 </v>
      </c>
    </row>
    <row r="29" spans="1:12" ht="39.950000000000003" customHeight="1" x14ac:dyDescent="0.25">
      <c r="A29" s="6" t="s">
        <v>3488</v>
      </c>
      <c r="B29" s="7" t="s">
        <v>3489</v>
      </c>
      <c r="C29" s="8">
        <v>1</v>
      </c>
      <c r="D29" s="9">
        <v>40.99</v>
      </c>
      <c r="E29" s="8">
        <v>326</v>
      </c>
      <c r="F29" s="7" t="s">
        <v>3490</v>
      </c>
      <c r="G29" s="10" t="s">
        <v>3491</v>
      </c>
      <c r="H29" s="7" t="s">
        <v>3492</v>
      </c>
      <c r="I29" s="7" t="s">
        <v>3493</v>
      </c>
      <c r="J29" s="7" t="s">
        <v>3358</v>
      </c>
      <c r="K29" s="7" t="s">
        <v>3494</v>
      </c>
      <c r="L29" s="11" t="str">
        <f>HYPERLINK("http://slimages.macys.com/is/image/MCY/14832486 ")</f>
        <v xml:space="preserve">http://slimages.macys.com/is/image/MCY/14832486 </v>
      </c>
    </row>
    <row r="30" spans="1:12" ht="39.950000000000003" customHeight="1" x14ac:dyDescent="0.25">
      <c r="A30" s="6" t="s">
        <v>3495</v>
      </c>
      <c r="B30" s="7" t="s">
        <v>3496</v>
      </c>
      <c r="C30" s="8">
        <v>1</v>
      </c>
      <c r="D30" s="9">
        <v>29.99</v>
      </c>
      <c r="E30" s="8" t="s">
        <v>3497</v>
      </c>
      <c r="F30" s="7" t="s">
        <v>3498</v>
      </c>
      <c r="G30" s="10"/>
      <c r="H30" s="7" t="s">
        <v>3492</v>
      </c>
      <c r="I30" s="7" t="s">
        <v>3499</v>
      </c>
      <c r="J30" s="7" t="s">
        <v>3358</v>
      </c>
      <c r="K30" s="7"/>
      <c r="L30" s="11" t="str">
        <f>HYPERLINK("http://slimages.macys.com/is/image/MCY/11926863 ")</f>
        <v xml:space="preserve">http://slimages.macys.com/is/image/MCY/11926863 </v>
      </c>
    </row>
    <row r="31" spans="1:12" ht="39.950000000000003" customHeight="1" x14ac:dyDescent="0.25">
      <c r="A31" s="6" t="s">
        <v>3500</v>
      </c>
      <c r="B31" s="7" t="s">
        <v>3501</v>
      </c>
      <c r="C31" s="8">
        <v>1</v>
      </c>
      <c r="D31" s="9">
        <v>28.99</v>
      </c>
      <c r="E31" s="8" t="s">
        <v>3502</v>
      </c>
      <c r="F31" s="7" t="s">
        <v>3503</v>
      </c>
      <c r="G31" s="10" t="s">
        <v>3504</v>
      </c>
      <c r="H31" s="7" t="s">
        <v>3397</v>
      </c>
      <c r="I31" s="7" t="s">
        <v>3505</v>
      </c>
      <c r="J31" s="7" t="s">
        <v>3358</v>
      </c>
      <c r="K31" s="7" t="s">
        <v>3506</v>
      </c>
      <c r="L31" s="11" t="str">
        <f>HYPERLINK("http://slimages.macys.com/is/image/MCY/15411775 ")</f>
        <v xml:space="preserve">http://slimages.macys.com/is/image/MCY/15411775 </v>
      </c>
    </row>
    <row r="32" spans="1:12" ht="39.950000000000003" customHeight="1" x14ac:dyDescent="0.25">
      <c r="A32" s="6" t="s">
        <v>3507</v>
      </c>
      <c r="B32" s="7" t="s">
        <v>3508</v>
      </c>
      <c r="C32" s="8">
        <v>1</v>
      </c>
      <c r="D32" s="9">
        <v>29.99</v>
      </c>
      <c r="E32" s="8" t="s">
        <v>3509</v>
      </c>
      <c r="F32" s="7"/>
      <c r="G32" s="10"/>
      <c r="H32" s="7" t="s">
        <v>3412</v>
      </c>
      <c r="I32" s="7" t="s">
        <v>3510</v>
      </c>
      <c r="J32" s="7"/>
      <c r="K32" s="7"/>
      <c r="L32" s="11" t="str">
        <f>HYPERLINK("http://slimages.macys.com/is/image/MCY/17597058 ")</f>
        <v xml:space="preserve">http://slimages.macys.com/is/image/MCY/17597058 </v>
      </c>
    </row>
    <row r="33" spans="1:12" ht="39.950000000000003" customHeight="1" x14ac:dyDescent="0.25">
      <c r="A33" s="6" t="s">
        <v>3511</v>
      </c>
      <c r="B33" s="7" t="s">
        <v>3512</v>
      </c>
      <c r="C33" s="8">
        <v>2</v>
      </c>
      <c r="D33" s="9">
        <v>49.98</v>
      </c>
      <c r="E33" s="8" t="s">
        <v>3513</v>
      </c>
      <c r="F33" s="7" t="s">
        <v>3514</v>
      </c>
      <c r="G33" s="10"/>
      <c r="H33" s="7" t="s">
        <v>3515</v>
      </c>
      <c r="I33" s="7" t="s">
        <v>3436</v>
      </c>
      <c r="J33" s="7" t="s">
        <v>3358</v>
      </c>
      <c r="K33" s="7" t="s">
        <v>3516</v>
      </c>
      <c r="L33" s="11" t="str">
        <f>HYPERLINK("http://slimages.macys.com/is/image/MCY/10082404 ")</f>
        <v xml:space="preserve">http://slimages.macys.com/is/image/MCY/10082404 </v>
      </c>
    </row>
    <row r="34" spans="1:12" ht="39.950000000000003" customHeight="1" x14ac:dyDescent="0.25">
      <c r="A34" s="6" t="s">
        <v>3517</v>
      </c>
      <c r="B34" s="7" t="s">
        <v>3518</v>
      </c>
      <c r="C34" s="8">
        <v>1</v>
      </c>
      <c r="D34" s="9">
        <v>19.989999999999998</v>
      </c>
      <c r="E34" s="8" t="s">
        <v>3519</v>
      </c>
      <c r="F34" s="7" t="s">
        <v>3355</v>
      </c>
      <c r="G34" s="10" t="s">
        <v>3520</v>
      </c>
      <c r="H34" s="7" t="s">
        <v>3431</v>
      </c>
      <c r="I34" s="7" t="s">
        <v>3432</v>
      </c>
      <c r="J34" s="7" t="s">
        <v>3358</v>
      </c>
      <c r="K34" s="7" t="s">
        <v>3521</v>
      </c>
      <c r="L34" s="11" t="str">
        <f>HYPERLINK("http://slimages.macys.com/is/image/MCY/9962009 ")</f>
        <v xml:space="preserve">http://slimages.macys.com/is/image/MCY/9962009 </v>
      </c>
    </row>
    <row r="35" spans="1:12" ht="39.950000000000003" customHeight="1" x14ac:dyDescent="0.25">
      <c r="A35" s="6" t="s">
        <v>3522</v>
      </c>
      <c r="B35" s="7" t="s">
        <v>3523</v>
      </c>
      <c r="C35" s="8">
        <v>1</v>
      </c>
      <c r="D35" s="9">
        <v>18.989999999999998</v>
      </c>
      <c r="E35" s="8" t="s">
        <v>3524</v>
      </c>
      <c r="F35" s="7" t="s">
        <v>3525</v>
      </c>
      <c r="G35" s="10"/>
      <c r="H35" s="7" t="s">
        <v>3526</v>
      </c>
      <c r="I35" s="7" t="s">
        <v>3527</v>
      </c>
      <c r="J35" s="7" t="s">
        <v>3358</v>
      </c>
      <c r="K35" s="7" t="s">
        <v>3390</v>
      </c>
      <c r="L35" s="11" t="str">
        <f>HYPERLINK("http://slimages.macys.com/is/image/MCY/3162549 ")</f>
        <v xml:space="preserve">http://slimages.macys.com/is/image/MCY/3162549 </v>
      </c>
    </row>
    <row r="36" spans="1:12" ht="39.950000000000003" customHeight="1" x14ac:dyDescent="0.25">
      <c r="A36" s="6" t="s">
        <v>3528</v>
      </c>
      <c r="B36" s="7" t="s">
        <v>3529</v>
      </c>
      <c r="C36" s="8">
        <v>1</v>
      </c>
      <c r="D36" s="9">
        <v>7.99</v>
      </c>
      <c r="E36" s="8" t="s">
        <v>3530</v>
      </c>
      <c r="F36" s="7" t="s">
        <v>3531</v>
      </c>
      <c r="G36" s="10" t="s">
        <v>3532</v>
      </c>
      <c r="H36" s="7" t="s">
        <v>3482</v>
      </c>
      <c r="I36" s="7" t="s">
        <v>3483</v>
      </c>
      <c r="J36" s="7" t="s">
        <v>3358</v>
      </c>
      <c r="K36" s="7" t="s">
        <v>3484</v>
      </c>
      <c r="L36" s="11" t="str">
        <f>HYPERLINK("http://slimages.macys.com/is/image/MCY/12723264 ")</f>
        <v xml:space="preserve">http://slimages.macys.com/is/image/MCY/12723264 </v>
      </c>
    </row>
    <row r="37" spans="1:12" ht="39.950000000000003" customHeight="1" x14ac:dyDescent="0.25">
      <c r="A37" s="6" t="s">
        <v>3533</v>
      </c>
      <c r="B37" s="7" t="s">
        <v>3534</v>
      </c>
      <c r="C37" s="8">
        <v>1</v>
      </c>
      <c r="D37" s="9">
        <v>9.99</v>
      </c>
      <c r="E37" s="8" t="s">
        <v>3535</v>
      </c>
      <c r="F37" s="7" t="s">
        <v>3525</v>
      </c>
      <c r="G37" s="10"/>
      <c r="H37" s="7" t="s">
        <v>3492</v>
      </c>
      <c r="I37" s="7" t="s">
        <v>3536</v>
      </c>
      <c r="J37" s="7"/>
      <c r="K37" s="7"/>
      <c r="L37" s="11" t="str">
        <f>HYPERLINK("http://slimages.macys.com/is/image/MCY/17995886 ")</f>
        <v xml:space="preserve">http://slimages.macys.com/is/image/MCY/17995886 </v>
      </c>
    </row>
    <row r="38" spans="1:12" ht="39.950000000000003" customHeight="1" x14ac:dyDescent="0.25">
      <c r="A38" s="6" t="s">
        <v>3537</v>
      </c>
      <c r="B38" s="7" t="s">
        <v>3538</v>
      </c>
      <c r="C38" s="8">
        <v>1</v>
      </c>
      <c r="D38" s="9">
        <v>9.99</v>
      </c>
      <c r="E38" s="8" t="s">
        <v>3539</v>
      </c>
      <c r="F38" s="7" t="s">
        <v>3498</v>
      </c>
      <c r="G38" s="10"/>
      <c r="H38" s="7" t="s">
        <v>3492</v>
      </c>
      <c r="I38" s="7" t="s">
        <v>3536</v>
      </c>
      <c r="J38" s="7"/>
      <c r="K38" s="7"/>
      <c r="L38" s="11" t="str">
        <f>HYPERLINK("http://slimages.macys.com/is/image/MCY/17995889 ")</f>
        <v xml:space="preserve">http://slimages.macys.com/is/image/MCY/17995889 </v>
      </c>
    </row>
    <row r="39" spans="1:12" ht="39.950000000000003" customHeight="1" x14ac:dyDescent="0.25">
      <c r="A39" s="6" t="s">
        <v>3540</v>
      </c>
      <c r="B39" s="7" t="s">
        <v>3541</v>
      </c>
      <c r="C39" s="8">
        <v>24</v>
      </c>
      <c r="D39" s="9">
        <v>960</v>
      </c>
      <c r="E39" s="8"/>
      <c r="F39" s="7" t="s">
        <v>3542</v>
      </c>
      <c r="G39" s="10" t="s">
        <v>3504</v>
      </c>
      <c r="H39" s="7" t="s">
        <v>3543</v>
      </c>
      <c r="I39" s="7" t="s">
        <v>3544</v>
      </c>
      <c r="J39" s="7"/>
      <c r="K39" s="7"/>
      <c r="L39" s="11"/>
    </row>
    <row r="40" spans="1:12" ht="39.950000000000003" customHeight="1" x14ac:dyDescent="0.25">
      <c r="A40" s="6"/>
      <c r="B40" s="7"/>
      <c r="C40" s="8"/>
      <c r="D40" s="9"/>
      <c r="E40" s="8"/>
      <c r="F40" s="7"/>
      <c r="G40" s="10"/>
      <c r="H40" s="7"/>
      <c r="I40" s="7"/>
      <c r="J40" s="7"/>
      <c r="K40" s="7"/>
      <c r="L40" s="11"/>
    </row>
    <row r="41" spans="1:12" ht="39.950000000000003" customHeight="1" x14ac:dyDescent="0.25">
      <c r="A41" s="6"/>
      <c r="B41" s="7"/>
      <c r="C41" s="8"/>
      <c r="D41" s="9"/>
      <c r="E41" s="8"/>
      <c r="F41" s="7"/>
      <c r="G41" s="10"/>
      <c r="H41" s="7"/>
      <c r="I41" s="7"/>
      <c r="J41" s="7"/>
      <c r="K41" s="7"/>
      <c r="L41" s="11"/>
    </row>
    <row r="42" spans="1:12" ht="39.950000000000003" customHeight="1" x14ac:dyDescent="0.25">
      <c r="A42" s="6"/>
      <c r="B42" s="7"/>
      <c r="C42" s="8"/>
      <c r="D42" s="9"/>
      <c r="E42" s="8"/>
      <c r="F42" s="7"/>
      <c r="G42" s="10"/>
      <c r="H42" s="7"/>
      <c r="I42" s="7"/>
      <c r="J42" s="7"/>
      <c r="K42" s="7"/>
      <c r="L42" s="11"/>
    </row>
    <row r="43" spans="1:12" ht="39.950000000000003" customHeight="1" x14ac:dyDescent="0.25">
      <c r="A43" s="6"/>
      <c r="B43" s="7"/>
      <c r="C43" s="8"/>
      <c r="D43" s="9"/>
      <c r="E43" s="8"/>
      <c r="F43" s="7"/>
      <c r="G43" s="10"/>
      <c r="H43" s="7"/>
      <c r="I43" s="7"/>
      <c r="J43" s="7"/>
      <c r="K43" s="7"/>
      <c r="L43" s="11"/>
    </row>
    <row r="44" spans="1:12" ht="39.950000000000003" customHeight="1" x14ac:dyDescent="0.25">
      <c r="A44" s="6"/>
      <c r="B44" s="7"/>
      <c r="C44" s="8"/>
      <c r="D44" s="9"/>
      <c r="E44" s="8"/>
      <c r="F44" s="7"/>
      <c r="G44" s="10"/>
      <c r="H44" s="7"/>
      <c r="I44" s="7"/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6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3545</v>
      </c>
      <c r="B2" s="7" t="s">
        <v>3546</v>
      </c>
      <c r="C2" s="8">
        <v>1</v>
      </c>
      <c r="D2" s="9">
        <v>299.99</v>
      </c>
      <c r="E2" s="8" t="s">
        <v>3547</v>
      </c>
      <c r="F2" s="7" t="s">
        <v>3363</v>
      </c>
      <c r="G2" s="10"/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HYPERLINK("http://slimages.macys.com/is/image/MCY/3969345 ")</f>
        <v xml:space="preserve">http://slimages.macys.com/is/image/MCY/3969345 </v>
      </c>
    </row>
    <row r="3" spans="1:12" ht="39.950000000000003" customHeight="1" x14ac:dyDescent="0.25">
      <c r="A3" s="6" t="s">
        <v>555</v>
      </c>
      <c r="B3" s="7" t="s">
        <v>556</v>
      </c>
      <c r="C3" s="8">
        <v>1</v>
      </c>
      <c r="D3" s="9">
        <v>179.99</v>
      </c>
      <c r="E3" s="8" t="s">
        <v>557</v>
      </c>
      <c r="F3" s="7" t="s">
        <v>3355</v>
      </c>
      <c r="G3" s="10"/>
      <c r="H3" s="7" t="s">
        <v>3827</v>
      </c>
      <c r="I3" s="7" t="s">
        <v>3828</v>
      </c>
      <c r="J3" s="7" t="s">
        <v>3358</v>
      </c>
      <c r="K3" s="7" t="s">
        <v>558</v>
      </c>
      <c r="L3" s="11" t="str">
        <f>HYPERLINK("http://slimages.macys.com/is/image/MCY/10022182 ")</f>
        <v xml:space="preserve">http://slimages.macys.com/is/image/MCY/10022182 </v>
      </c>
    </row>
    <row r="4" spans="1:12" ht="39.950000000000003" customHeight="1" x14ac:dyDescent="0.25">
      <c r="A4" s="6" t="s">
        <v>2423</v>
      </c>
      <c r="B4" s="7" t="s">
        <v>2424</v>
      </c>
      <c r="C4" s="8">
        <v>1</v>
      </c>
      <c r="D4" s="9">
        <v>199.99</v>
      </c>
      <c r="E4" s="8" t="s">
        <v>2425</v>
      </c>
      <c r="F4" s="7" t="s">
        <v>3673</v>
      </c>
      <c r="G4" s="10"/>
      <c r="H4" s="7" t="s">
        <v>3365</v>
      </c>
      <c r="I4" s="7" t="s">
        <v>3554</v>
      </c>
      <c r="J4" s="7" t="s">
        <v>3358</v>
      </c>
      <c r="K4" s="7"/>
      <c r="L4" s="11" t="str">
        <f>HYPERLINK("http://slimages.macys.com/is/image/MCY/10467368 ")</f>
        <v xml:space="preserve">http://slimages.macys.com/is/image/MCY/10467368 </v>
      </c>
    </row>
    <row r="5" spans="1:12" ht="39.950000000000003" customHeight="1" x14ac:dyDescent="0.25">
      <c r="A5" s="6" t="s">
        <v>559</v>
      </c>
      <c r="B5" s="7" t="s">
        <v>560</v>
      </c>
      <c r="C5" s="8">
        <v>1</v>
      </c>
      <c r="D5" s="9">
        <v>149.99</v>
      </c>
      <c r="E5" s="8" t="s">
        <v>561</v>
      </c>
      <c r="F5" s="7" t="s">
        <v>4049</v>
      </c>
      <c r="G5" s="10"/>
      <c r="H5" s="7" t="s">
        <v>3427</v>
      </c>
      <c r="I5" s="7" t="s">
        <v>2362</v>
      </c>
      <c r="J5" s="7" t="s">
        <v>3358</v>
      </c>
      <c r="K5" s="7" t="s">
        <v>562</v>
      </c>
      <c r="L5" s="11" t="str">
        <f>HYPERLINK("http://slimages.macys.com/is/image/MCY/11337403 ")</f>
        <v xml:space="preserve">http://slimages.macys.com/is/image/MCY/11337403 </v>
      </c>
    </row>
    <row r="6" spans="1:12" ht="39.950000000000003" customHeight="1" x14ac:dyDescent="0.25">
      <c r="A6" s="6" t="s">
        <v>563</v>
      </c>
      <c r="B6" s="7" t="s">
        <v>564</v>
      </c>
      <c r="C6" s="8">
        <v>1</v>
      </c>
      <c r="D6" s="9">
        <v>143.99</v>
      </c>
      <c r="E6" s="8" t="s">
        <v>565</v>
      </c>
      <c r="F6" s="7" t="s">
        <v>3525</v>
      </c>
      <c r="G6" s="10"/>
      <c r="H6" s="7" t="s">
        <v>3412</v>
      </c>
      <c r="I6" s="7" t="s">
        <v>3436</v>
      </c>
      <c r="J6" s="7" t="s">
        <v>3358</v>
      </c>
      <c r="K6" s="7" t="s">
        <v>566</v>
      </c>
      <c r="L6" s="11" t="str">
        <f>HYPERLINK("http://slimages.macys.com/is/image/MCY/11112467 ")</f>
        <v xml:space="preserve">http://slimages.macys.com/is/image/MCY/11112467 </v>
      </c>
    </row>
    <row r="7" spans="1:12" ht="39.950000000000003" customHeight="1" x14ac:dyDescent="0.25">
      <c r="A7" s="6" t="s">
        <v>567</v>
      </c>
      <c r="B7" s="7" t="s">
        <v>568</v>
      </c>
      <c r="C7" s="8">
        <v>1</v>
      </c>
      <c r="D7" s="9">
        <v>199.99</v>
      </c>
      <c r="E7" s="8" t="s">
        <v>569</v>
      </c>
      <c r="F7" s="7" t="s">
        <v>3363</v>
      </c>
      <c r="G7" s="10"/>
      <c r="H7" s="7" t="s">
        <v>3365</v>
      </c>
      <c r="I7" s="7" t="s">
        <v>3558</v>
      </c>
      <c r="J7" s="7"/>
      <c r="K7" s="7"/>
      <c r="L7" s="11" t="str">
        <f>HYPERLINK("http://slimages.macys.com/is/image/MCY/16860917 ")</f>
        <v xml:space="preserve">http://slimages.macys.com/is/image/MCY/16860917 </v>
      </c>
    </row>
    <row r="8" spans="1:12" ht="39.950000000000003" customHeight="1" x14ac:dyDescent="0.25">
      <c r="A8" s="6" t="s">
        <v>570</v>
      </c>
      <c r="B8" s="7" t="s">
        <v>571</v>
      </c>
      <c r="C8" s="8">
        <v>1</v>
      </c>
      <c r="D8" s="9">
        <v>179.99</v>
      </c>
      <c r="E8" s="8" t="s">
        <v>572</v>
      </c>
      <c r="F8" s="7" t="s">
        <v>3525</v>
      </c>
      <c r="G8" s="10"/>
      <c r="H8" s="7" t="s">
        <v>3658</v>
      </c>
      <c r="I8" s="7" t="s">
        <v>3659</v>
      </c>
      <c r="J8" s="7" t="s">
        <v>3358</v>
      </c>
      <c r="K8" s="7" t="s">
        <v>573</v>
      </c>
      <c r="L8" s="11" t="str">
        <f>HYPERLINK("http://slimages.macys.com/is/image/MCY/10264817 ")</f>
        <v xml:space="preserve">http://slimages.macys.com/is/image/MCY/10264817 </v>
      </c>
    </row>
    <row r="9" spans="1:12" ht="39.950000000000003" customHeight="1" x14ac:dyDescent="0.25">
      <c r="A9" s="6" t="s">
        <v>574</v>
      </c>
      <c r="B9" s="7" t="s">
        <v>575</v>
      </c>
      <c r="C9" s="8">
        <v>1</v>
      </c>
      <c r="D9" s="9">
        <v>119.99</v>
      </c>
      <c r="E9" s="8" t="s">
        <v>576</v>
      </c>
      <c r="F9" s="7" t="s">
        <v>3371</v>
      </c>
      <c r="G9" s="10"/>
      <c r="H9" s="7" t="s">
        <v>3492</v>
      </c>
      <c r="I9" s="7" t="s">
        <v>2954</v>
      </c>
      <c r="J9" s="7" t="s">
        <v>3358</v>
      </c>
      <c r="K9" s="7"/>
      <c r="L9" s="11" t="str">
        <f>HYPERLINK("http://slimages.macys.com/is/image/MCY/8907453 ")</f>
        <v xml:space="preserve">http://slimages.macys.com/is/image/MCY/8907453 </v>
      </c>
    </row>
    <row r="10" spans="1:12" ht="39.950000000000003" customHeight="1" x14ac:dyDescent="0.25">
      <c r="A10" s="6" t="s">
        <v>577</v>
      </c>
      <c r="B10" s="7" t="s">
        <v>578</v>
      </c>
      <c r="C10" s="8">
        <v>1</v>
      </c>
      <c r="D10" s="9">
        <v>119.99</v>
      </c>
      <c r="E10" s="8" t="s">
        <v>579</v>
      </c>
      <c r="F10" s="7" t="s">
        <v>3802</v>
      </c>
      <c r="G10" s="10"/>
      <c r="H10" s="7" t="s">
        <v>3356</v>
      </c>
      <c r="I10" s="7" t="s">
        <v>2876</v>
      </c>
      <c r="J10" s="7" t="s">
        <v>3358</v>
      </c>
      <c r="K10" s="7" t="s">
        <v>3390</v>
      </c>
      <c r="L10" s="11" t="str">
        <f>HYPERLINK("http://slimages.macys.com/is/image/MCY/11155996 ")</f>
        <v xml:space="preserve">http://slimages.macys.com/is/image/MCY/11155996 </v>
      </c>
    </row>
    <row r="11" spans="1:12" ht="39.950000000000003" customHeight="1" x14ac:dyDescent="0.25">
      <c r="A11" s="6" t="s">
        <v>580</v>
      </c>
      <c r="B11" s="7" t="s">
        <v>581</v>
      </c>
      <c r="C11" s="8">
        <v>1</v>
      </c>
      <c r="D11" s="9">
        <v>119.99</v>
      </c>
      <c r="E11" s="8" t="s">
        <v>582</v>
      </c>
      <c r="F11" s="7" t="s">
        <v>3384</v>
      </c>
      <c r="G11" s="10"/>
      <c r="H11" s="7" t="s">
        <v>4035</v>
      </c>
      <c r="I11" s="7" t="s">
        <v>4036</v>
      </c>
      <c r="J11" s="7" t="s">
        <v>3358</v>
      </c>
      <c r="K11" s="7"/>
      <c r="L11" s="11" t="str">
        <f>HYPERLINK("http://slimages.macys.com/is/image/MCY/9396665 ")</f>
        <v xml:space="preserve">http://slimages.macys.com/is/image/MCY/9396665 </v>
      </c>
    </row>
    <row r="12" spans="1:12" ht="39.950000000000003" customHeight="1" x14ac:dyDescent="0.25">
      <c r="A12" s="6" t="s">
        <v>583</v>
      </c>
      <c r="B12" s="7" t="s">
        <v>584</v>
      </c>
      <c r="C12" s="8">
        <v>1</v>
      </c>
      <c r="D12" s="9">
        <v>109.99</v>
      </c>
      <c r="E12" s="8" t="s">
        <v>585</v>
      </c>
      <c r="F12" s="7" t="s">
        <v>3384</v>
      </c>
      <c r="G12" s="10"/>
      <c r="H12" s="7" t="s">
        <v>3412</v>
      </c>
      <c r="I12" s="7" t="s">
        <v>3436</v>
      </c>
      <c r="J12" s="7" t="s">
        <v>3358</v>
      </c>
      <c r="K12" s="7" t="s">
        <v>3390</v>
      </c>
      <c r="L12" s="11" t="str">
        <f>HYPERLINK("http://slimages.macys.com/is/image/MCY/16650708 ")</f>
        <v xml:space="preserve">http://slimages.macys.com/is/image/MCY/16650708 </v>
      </c>
    </row>
    <row r="13" spans="1:12" ht="39.950000000000003" customHeight="1" x14ac:dyDescent="0.25">
      <c r="A13" s="6" t="s">
        <v>586</v>
      </c>
      <c r="B13" s="7" t="s">
        <v>587</v>
      </c>
      <c r="C13" s="8">
        <v>1</v>
      </c>
      <c r="D13" s="9">
        <v>145.99</v>
      </c>
      <c r="E13" s="8" t="s">
        <v>588</v>
      </c>
      <c r="F13" s="7" t="s">
        <v>3384</v>
      </c>
      <c r="G13" s="10"/>
      <c r="H13" s="7" t="s">
        <v>3412</v>
      </c>
      <c r="I13" s="7" t="s">
        <v>3436</v>
      </c>
      <c r="J13" s="7" t="s">
        <v>3358</v>
      </c>
      <c r="K13" s="7" t="s">
        <v>589</v>
      </c>
      <c r="L13" s="11" t="str">
        <f>HYPERLINK("http://slimages.macys.com/is/image/MCY/12501878 ")</f>
        <v xml:space="preserve">http://slimages.macys.com/is/image/MCY/12501878 </v>
      </c>
    </row>
    <row r="14" spans="1:12" ht="39.950000000000003" customHeight="1" x14ac:dyDescent="0.25">
      <c r="A14" s="6" t="s">
        <v>590</v>
      </c>
      <c r="B14" s="7" t="s">
        <v>591</v>
      </c>
      <c r="C14" s="8">
        <v>1</v>
      </c>
      <c r="D14" s="9">
        <v>99.99</v>
      </c>
      <c r="E14" s="8">
        <v>22339222</v>
      </c>
      <c r="F14" s="7" t="s">
        <v>3514</v>
      </c>
      <c r="G14" s="10"/>
      <c r="H14" s="7" t="s">
        <v>3412</v>
      </c>
      <c r="I14" s="7" t="s">
        <v>3413</v>
      </c>
      <c r="J14" s="7" t="s">
        <v>3358</v>
      </c>
      <c r="K14" s="7" t="s">
        <v>3390</v>
      </c>
      <c r="L14" s="11" t="str">
        <f>HYPERLINK("http://slimages.macys.com/is/image/MCY/16688557 ")</f>
        <v xml:space="preserve">http://slimages.macys.com/is/image/MCY/16688557 </v>
      </c>
    </row>
    <row r="15" spans="1:12" ht="39.950000000000003" customHeight="1" x14ac:dyDescent="0.25">
      <c r="A15" s="6" t="s">
        <v>592</v>
      </c>
      <c r="B15" s="7" t="s">
        <v>593</v>
      </c>
      <c r="C15" s="8">
        <v>1</v>
      </c>
      <c r="D15" s="9">
        <v>99.99</v>
      </c>
      <c r="E15" s="8">
        <v>81357</v>
      </c>
      <c r="F15" s="7" t="s">
        <v>3553</v>
      </c>
      <c r="G15" s="10"/>
      <c r="H15" s="7" t="s">
        <v>3412</v>
      </c>
      <c r="I15" s="7" t="s">
        <v>3595</v>
      </c>
      <c r="J15" s="7" t="s">
        <v>3358</v>
      </c>
      <c r="K15" s="7" t="s">
        <v>594</v>
      </c>
      <c r="L15" s="11" t="str">
        <f>HYPERLINK("http://slimages.macys.com/is/image/MCY/15003309 ")</f>
        <v xml:space="preserve">http://slimages.macys.com/is/image/MCY/15003309 </v>
      </c>
    </row>
    <row r="16" spans="1:12" ht="39.950000000000003" customHeight="1" x14ac:dyDescent="0.25">
      <c r="A16" s="6" t="s">
        <v>595</v>
      </c>
      <c r="B16" s="7" t="s">
        <v>596</v>
      </c>
      <c r="C16" s="8">
        <v>1</v>
      </c>
      <c r="D16" s="9">
        <v>139.99</v>
      </c>
      <c r="E16" s="8" t="s">
        <v>597</v>
      </c>
      <c r="F16" s="7" t="s">
        <v>3904</v>
      </c>
      <c r="G16" s="10" t="s">
        <v>3364</v>
      </c>
      <c r="H16" s="7" t="s">
        <v>3658</v>
      </c>
      <c r="I16" s="7" t="s">
        <v>3659</v>
      </c>
      <c r="J16" s="7" t="s">
        <v>3358</v>
      </c>
      <c r="K16" s="7" t="s">
        <v>598</v>
      </c>
      <c r="L16" s="11" t="str">
        <f>HYPERLINK("http://slimages.macys.com/is/image/MCY/12072430 ")</f>
        <v xml:space="preserve">http://slimages.macys.com/is/image/MCY/12072430 </v>
      </c>
    </row>
    <row r="17" spans="1:12" ht="39.950000000000003" customHeight="1" x14ac:dyDescent="0.25">
      <c r="A17" s="6" t="s">
        <v>599</v>
      </c>
      <c r="B17" s="7" t="s">
        <v>600</v>
      </c>
      <c r="C17" s="8">
        <v>1</v>
      </c>
      <c r="D17" s="9">
        <v>99.99</v>
      </c>
      <c r="E17" s="8">
        <v>1008894400</v>
      </c>
      <c r="F17" s="7" t="s">
        <v>3706</v>
      </c>
      <c r="G17" s="10"/>
      <c r="H17" s="7" t="s">
        <v>3482</v>
      </c>
      <c r="I17" s="7" t="s">
        <v>3618</v>
      </c>
      <c r="J17" s="7" t="s">
        <v>3358</v>
      </c>
      <c r="K17" s="7" t="s">
        <v>3619</v>
      </c>
      <c r="L17" s="11" t="str">
        <f>HYPERLINK("http://slimages.macys.com/is/image/MCY/3776637 ")</f>
        <v xml:space="preserve">http://slimages.macys.com/is/image/MCY/3776637 </v>
      </c>
    </row>
    <row r="18" spans="1:12" ht="39.950000000000003" customHeight="1" x14ac:dyDescent="0.25">
      <c r="A18" s="6" t="s">
        <v>601</v>
      </c>
      <c r="B18" s="7" t="s">
        <v>602</v>
      </c>
      <c r="C18" s="8">
        <v>1</v>
      </c>
      <c r="D18" s="9">
        <v>99.99</v>
      </c>
      <c r="E18" s="8" t="s">
        <v>603</v>
      </c>
      <c r="F18" s="7" t="s">
        <v>3525</v>
      </c>
      <c r="G18" s="10"/>
      <c r="H18" s="7" t="s">
        <v>3658</v>
      </c>
      <c r="I18" s="7" t="s">
        <v>2690</v>
      </c>
      <c r="J18" s="7" t="s">
        <v>3358</v>
      </c>
      <c r="K18" s="7"/>
      <c r="L18" s="11" t="str">
        <f>HYPERLINK("http://slimages.macys.com/is/image/MCY/10656684 ")</f>
        <v xml:space="preserve">http://slimages.macys.com/is/image/MCY/10656684 </v>
      </c>
    </row>
    <row r="19" spans="1:12" ht="39.950000000000003" customHeight="1" x14ac:dyDescent="0.25">
      <c r="A19" s="6" t="s">
        <v>604</v>
      </c>
      <c r="B19" s="7" t="s">
        <v>605</v>
      </c>
      <c r="C19" s="8">
        <v>1</v>
      </c>
      <c r="D19" s="9">
        <v>99.99</v>
      </c>
      <c r="E19" s="8">
        <v>81362</v>
      </c>
      <c r="F19" s="7" t="s">
        <v>3701</v>
      </c>
      <c r="G19" s="10"/>
      <c r="H19" s="7" t="s">
        <v>3412</v>
      </c>
      <c r="I19" s="7" t="s">
        <v>3595</v>
      </c>
      <c r="J19" s="7" t="s">
        <v>3358</v>
      </c>
      <c r="K19" s="7" t="s">
        <v>594</v>
      </c>
      <c r="L19" s="11" t="str">
        <f>HYPERLINK("http://slimages.macys.com/is/image/MCY/15005534 ")</f>
        <v xml:space="preserve">http://slimages.macys.com/is/image/MCY/15005534 </v>
      </c>
    </row>
    <row r="20" spans="1:12" ht="39.950000000000003" customHeight="1" x14ac:dyDescent="0.25">
      <c r="A20" s="6" t="s">
        <v>606</v>
      </c>
      <c r="B20" s="7" t="s">
        <v>607</v>
      </c>
      <c r="C20" s="8">
        <v>1</v>
      </c>
      <c r="D20" s="9">
        <v>79.989999999999995</v>
      </c>
      <c r="E20" s="8" t="s">
        <v>608</v>
      </c>
      <c r="F20" s="7" t="s">
        <v>3503</v>
      </c>
      <c r="G20" s="10"/>
      <c r="H20" s="7" t="s">
        <v>3492</v>
      </c>
      <c r="I20" s="7" t="s">
        <v>2991</v>
      </c>
      <c r="J20" s="7" t="s">
        <v>3358</v>
      </c>
      <c r="K20" s="7" t="s">
        <v>3484</v>
      </c>
      <c r="L20" s="11" t="str">
        <f>HYPERLINK("http://slimages.macys.com/is/image/MCY/11262113 ")</f>
        <v xml:space="preserve">http://slimages.macys.com/is/image/MCY/11262113 </v>
      </c>
    </row>
    <row r="21" spans="1:12" ht="39.950000000000003" customHeight="1" x14ac:dyDescent="0.25">
      <c r="A21" s="6" t="s">
        <v>3161</v>
      </c>
      <c r="B21" s="7" t="s">
        <v>3162</v>
      </c>
      <c r="C21" s="8">
        <v>1</v>
      </c>
      <c r="D21" s="9">
        <v>119.99</v>
      </c>
      <c r="E21" s="8" t="s">
        <v>3163</v>
      </c>
      <c r="F21" s="7" t="s">
        <v>3477</v>
      </c>
      <c r="G21" s="10"/>
      <c r="H21" s="7" t="s">
        <v>3658</v>
      </c>
      <c r="I21" s="7" t="s">
        <v>2690</v>
      </c>
      <c r="J21" s="7"/>
      <c r="K21" s="7"/>
      <c r="L21" s="11" t="str">
        <f>HYPERLINK("http://slimages.macys.com/is/image/MCY/957575 ")</f>
        <v xml:space="preserve">http://slimages.macys.com/is/image/MCY/957575 </v>
      </c>
    </row>
    <row r="22" spans="1:12" ht="39.950000000000003" customHeight="1" x14ac:dyDescent="0.25">
      <c r="A22" s="6" t="s">
        <v>609</v>
      </c>
      <c r="B22" s="7" t="s">
        <v>610</v>
      </c>
      <c r="C22" s="8">
        <v>1</v>
      </c>
      <c r="D22" s="9">
        <v>69.989999999999995</v>
      </c>
      <c r="E22" s="8" t="s">
        <v>611</v>
      </c>
      <c r="F22" s="7" t="s">
        <v>3531</v>
      </c>
      <c r="G22" s="10"/>
      <c r="H22" s="7" t="s">
        <v>3526</v>
      </c>
      <c r="I22" s="7" t="s">
        <v>504</v>
      </c>
      <c r="J22" s="7" t="s">
        <v>3358</v>
      </c>
      <c r="K22" s="7" t="s">
        <v>612</v>
      </c>
      <c r="L22" s="11" t="str">
        <f>HYPERLINK("http://slimages.macys.com/is/image/MCY/11315728 ")</f>
        <v xml:space="preserve">http://slimages.macys.com/is/image/MCY/11315728 </v>
      </c>
    </row>
    <row r="23" spans="1:12" ht="39.950000000000003" customHeight="1" x14ac:dyDescent="0.25">
      <c r="A23" s="6" t="s">
        <v>613</v>
      </c>
      <c r="B23" s="7" t="s">
        <v>614</v>
      </c>
      <c r="C23" s="8">
        <v>1</v>
      </c>
      <c r="D23" s="9">
        <v>69.989999999999995</v>
      </c>
      <c r="E23" s="8">
        <v>22182238</v>
      </c>
      <c r="F23" s="7" t="s">
        <v>3363</v>
      </c>
      <c r="G23" s="10"/>
      <c r="H23" s="7" t="s">
        <v>3397</v>
      </c>
      <c r="I23" s="7" t="s">
        <v>3565</v>
      </c>
      <c r="J23" s="7"/>
      <c r="K23" s="7"/>
      <c r="L23" s="11" t="str">
        <f>HYPERLINK("http://slimages.macys.com/is/image/MCY/17591413 ")</f>
        <v xml:space="preserve">http://slimages.macys.com/is/image/MCY/17591413 </v>
      </c>
    </row>
    <row r="24" spans="1:12" ht="39.950000000000003" customHeight="1" x14ac:dyDescent="0.25">
      <c r="A24" s="6" t="s">
        <v>2472</v>
      </c>
      <c r="B24" s="7" t="s">
        <v>2473</v>
      </c>
      <c r="C24" s="8">
        <v>1</v>
      </c>
      <c r="D24" s="9">
        <v>119.99</v>
      </c>
      <c r="E24" s="8" t="s">
        <v>2474</v>
      </c>
      <c r="F24" s="7" t="s">
        <v>3904</v>
      </c>
      <c r="G24" s="10"/>
      <c r="H24" s="7" t="s">
        <v>3658</v>
      </c>
      <c r="I24" s="7" t="s">
        <v>3659</v>
      </c>
      <c r="J24" s="7" t="s">
        <v>3751</v>
      </c>
      <c r="K24" s="7" t="s">
        <v>2475</v>
      </c>
      <c r="L24" s="11" t="str">
        <f>HYPERLINK("http://slimages.macys.com/is/image/MCY/12072430 ")</f>
        <v xml:space="preserve">http://slimages.macys.com/is/image/MCY/12072430 </v>
      </c>
    </row>
    <row r="25" spans="1:12" ht="39.950000000000003" customHeight="1" x14ac:dyDescent="0.25">
      <c r="A25" s="6" t="s">
        <v>3006</v>
      </c>
      <c r="B25" s="7" t="s">
        <v>3007</v>
      </c>
      <c r="C25" s="8">
        <v>1</v>
      </c>
      <c r="D25" s="9">
        <v>84.99</v>
      </c>
      <c r="E25" s="8" t="s">
        <v>3008</v>
      </c>
      <c r="F25" s="7" t="s">
        <v>3363</v>
      </c>
      <c r="G25" s="10" t="s">
        <v>3645</v>
      </c>
      <c r="H25" s="7" t="s">
        <v>3471</v>
      </c>
      <c r="I25" s="7" t="s">
        <v>3378</v>
      </c>
      <c r="J25" s="7" t="s">
        <v>3379</v>
      </c>
      <c r="K25" s="7" t="s">
        <v>3009</v>
      </c>
      <c r="L25" s="11" t="str">
        <f>HYPERLINK("http://slimages.macys.com/is/image/MCY/8589816 ")</f>
        <v xml:space="preserve">http://slimages.macys.com/is/image/MCY/8589816 </v>
      </c>
    </row>
    <row r="26" spans="1:12" ht="39.950000000000003" customHeight="1" x14ac:dyDescent="0.25">
      <c r="A26" s="6" t="s">
        <v>615</v>
      </c>
      <c r="B26" s="7" t="s">
        <v>616</v>
      </c>
      <c r="C26" s="8">
        <v>1</v>
      </c>
      <c r="D26" s="9">
        <v>66.989999999999995</v>
      </c>
      <c r="E26" s="8" t="s">
        <v>617</v>
      </c>
      <c r="F26" s="7" t="s">
        <v>3553</v>
      </c>
      <c r="G26" s="10" t="s">
        <v>2207</v>
      </c>
      <c r="H26" s="7" t="s">
        <v>3492</v>
      </c>
      <c r="I26" s="7" t="s">
        <v>2954</v>
      </c>
      <c r="J26" s="7" t="s">
        <v>3358</v>
      </c>
      <c r="K26" s="7" t="s">
        <v>3390</v>
      </c>
      <c r="L26" s="11" t="str">
        <f>HYPERLINK("http://slimages.macys.com/is/image/MCY/16494323 ")</f>
        <v xml:space="preserve">http://slimages.macys.com/is/image/MCY/16494323 </v>
      </c>
    </row>
    <row r="27" spans="1:12" ht="39.950000000000003" customHeight="1" x14ac:dyDescent="0.25">
      <c r="A27" s="6" t="s">
        <v>618</v>
      </c>
      <c r="B27" s="7" t="s">
        <v>619</v>
      </c>
      <c r="C27" s="8">
        <v>1</v>
      </c>
      <c r="D27" s="9">
        <v>79.989999999999995</v>
      </c>
      <c r="E27" s="8">
        <v>30017</v>
      </c>
      <c r="F27" s="7" t="s">
        <v>3363</v>
      </c>
      <c r="G27" s="10" t="s">
        <v>3460</v>
      </c>
      <c r="H27" s="7" t="s">
        <v>3388</v>
      </c>
      <c r="I27" s="7" t="s">
        <v>3389</v>
      </c>
      <c r="J27" s="7" t="s">
        <v>3379</v>
      </c>
      <c r="K27" s="7" t="s">
        <v>3484</v>
      </c>
      <c r="L27" s="11" t="str">
        <f>HYPERLINK("http://slimages.macys.com/is/image/MCY/10096514 ")</f>
        <v xml:space="preserve">http://slimages.macys.com/is/image/MCY/10096514 </v>
      </c>
    </row>
    <row r="28" spans="1:12" ht="39.950000000000003" customHeight="1" x14ac:dyDescent="0.25">
      <c r="A28" s="6" t="s">
        <v>620</v>
      </c>
      <c r="B28" s="7" t="s">
        <v>621</v>
      </c>
      <c r="C28" s="8">
        <v>1</v>
      </c>
      <c r="D28" s="9">
        <v>89.99</v>
      </c>
      <c r="E28" s="8" t="s">
        <v>622</v>
      </c>
      <c r="F28" s="7" t="s">
        <v>3363</v>
      </c>
      <c r="G28" s="10"/>
      <c r="H28" s="7" t="s">
        <v>3418</v>
      </c>
      <c r="I28" s="7" t="s">
        <v>3419</v>
      </c>
      <c r="J28" s="7"/>
      <c r="K28" s="7"/>
      <c r="L28" s="11" t="str">
        <f>HYPERLINK("http://slimages.macys.com/is/image/MCY/18097083 ")</f>
        <v xml:space="preserve">http://slimages.macys.com/is/image/MCY/18097083 </v>
      </c>
    </row>
    <row r="29" spans="1:12" ht="39.950000000000003" customHeight="1" x14ac:dyDescent="0.25">
      <c r="A29" s="6" t="s">
        <v>623</v>
      </c>
      <c r="B29" s="7" t="s">
        <v>624</v>
      </c>
      <c r="C29" s="8">
        <v>1</v>
      </c>
      <c r="D29" s="9">
        <v>55.99</v>
      </c>
      <c r="E29" s="8" t="s">
        <v>625</v>
      </c>
      <c r="F29" s="7" t="s">
        <v>3673</v>
      </c>
      <c r="G29" s="10"/>
      <c r="H29" s="7" t="s">
        <v>3526</v>
      </c>
      <c r="I29" s="7" t="s">
        <v>4010</v>
      </c>
      <c r="J29" s="7" t="s">
        <v>3358</v>
      </c>
      <c r="K29" s="7" t="s">
        <v>4011</v>
      </c>
      <c r="L29" s="11" t="str">
        <f>HYPERLINK("http://slimages.macys.com/is/image/MCY/10682532 ")</f>
        <v xml:space="preserve">http://slimages.macys.com/is/image/MCY/10682532 </v>
      </c>
    </row>
    <row r="30" spans="1:12" ht="39.950000000000003" customHeight="1" x14ac:dyDescent="0.25">
      <c r="A30" s="6" t="s">
        <v>3457</v>
      </c>
      <c r="B30" s="7" t="s">
        <v>3458</v>
      </c>
      <c r="C30" s="8">
        <v>1</v>
      </c>
      <c r="D30" s="9">
        <v>54.99</v>
      </c>
      <c r="E30" s="8" t="s">
        <v>3459</v>
      </c>
      <c r="F30" s="7" t="s">
        <v>3363</v>
      </c>
      <c r="G30" s="10" t="s">
        <v>3460</v>
      </c>
      <c r="H30" s="7" t="s">
        <v>3388</v>
      </c>
      <c r="I30" s="7" t="s">
        <v>3461</v>
      </c>
      <c r="J30" s="7"/>
      <c r="K30" s="7"/>
      <c r="L30" s="11" t="str">
        <f>HYPERLINK("http://slimages.macys.com/is/image/MCY/17546523 ")</f>
        <v xml:space="preserve">http://slimages.macys.com/is/image/MCY/17546523 </v>
      </c>
    </row>
    <row r="31" spans="1:12" ht="39.950000000000003" customHeight="1" x14ac:dyDescent="0.25">
      <c r="A31" s="6" t="s">
        <v>2320</v>
      </c>
      <c r="B31" s="7" t="s">
        <v>2321</v>
      </c>
      <c r="C31" s="8">
        <v>1</v>
      </c>
      <c r="D31" s="9">
        <v>39.99</v>
      </c>
      <c r="E31" s="8" t="s">
        <v>2322</v>
      </c>
      <c r="F31" s="7" t="s">
        <v>3490</v>
      </c>
      <c r="G31" s="10"/>
      <c r="H31" s="7" t="s">
        <v>3526</v>
      </c>
      <c r="I31" s="7" t="s">
        <v>3865</v>
      </c>
      <c r="J31" s="7"/>
      <c r="K31" s="7"/>
      <c r="L31" s="11" t="str">
        <f>HYPERLINK("http://slimages.macys.com/is/image/MCY/16524334 ")</f>
        <v xml:space="preserve">http://slimages.macys.com/is/image/MCY/16524334 </v>
      </c>
    </row>
    <row r="32" spans="1:12" ht="39.950000000000003" customHeight="1" x14ac:dyDescent="0.25">
      <c r="A32" s="6" t="s">
        <v>626</v>
      </c>
      <c r="B32" s="7" t="s">
        <v>627</v>
      </c>
      <c r="C32" s="8">
        <v>1</v>
      </c>
      <c r="D32" s="9">
        <v>59.99</v>
      </c>
      <c r="E32" s="8">
        <v>21944222</v>
      </c>
      <c r="F32" s="7" t="s">
        <v>3384</v>
      </c>
      <c r="G32" s="10"/>
      <c r="H32" s="7" t="s">
        <v>3412</v>
      </c>
      <c r="I32" s="7" t="s">
        <v>3413</v>
      </c>
      <c r="J32" s="7" t="s">
        <v>3358</v>
      </c>
      <c r="K32" s="7" t="s">
        <v>3390</v>
      </c>
      <c r="L32" s="11" t="str">
        <f>HYPERLINK("http://slimages.macys.com/is/image/MCY/15806539 ")</f>
        <v xml:space="preserve">http://slimages.macys.com/is/image/MCY/15806539 </v>
      </c>
    </row>
    <row r="33" spans="1:12" ht="39.950000000000003" customHeight="1" x14ac:dyDescent="0.25">
      <c r="A33" s="6" t="s">
        <v>628</v>
      </c>
      <c r="B33" s="7" t="s">
        <v>629</v>
      </c>
      <c r="C33" s="8">
        <v>1</v>
      </c>
      <c r="D33" s="9">
        <v>39.99</v>
      </c>
      <c r="E33" s="8" t="s">
        <v>630</v>
      </c>
      <c r="F33" s="7"/>
      <c r="G33" s="10"/>
      <c r="H33" s="7" t="s">
        <v>3412</v>
      </c>
      <c r="I33" s="7" t="s">
        <v>3467</v>
      </c>
      <c r="J33" s="7" t="s">
        <v>3358</v>
      </c>
      <c r="K33" s="7" t="s">
        <v>3390</v>
      </c>
      <c r="L33" s="11" t="str">
        <f>HYPERLINK("http://slimages.macys.com/is/image/MCY/12325650 ")</f>
        <v xml:space="preserve">http://slimages.macys.com/is/image/MCY/12325650 </v>
      </c>
    </row>
    <row r="34" spans="1:12" ht="39.950000000000003" customHeight="1" x14ac:dyDescent="0.25">
      <c r="A34" s="6" t="s">
        <v>631</v>
      </c>
      <c r="B34" s="7" t="s">
        <v>632</v>
      </c>
      <c r="C34" s="8">
        <v>1</v>
      </c>
      <c r="D34" s="9">
        <v>34.99</v>
      </c>
      <c r="E34" s="8" t="s">
        <v>633</v>
      </c>
      <c r="F34" s="7" t="s">
        <v>3498</v>
      </c>
      <c r="G34" s="10"/>
      <c r="H34" s="7" t="s">
        <v>3372</v>
      </c>
      <c r="I34" s="7" t="s">
        <v>3436</v>
      </c>
      <c r="J34" s="7" t="s">
        <v>3358</v>
      </c>
      <c r="K34" s="7" t="s">
        <v>634</v>
      </c>
      <c r="L34" s="11" t="str">
        <f>HYPERLINK("http://slimages.macys.com/is/image/MCY/9352146 ")</f>
        <v xml:space="preserve">http://slimages.macys.com/is/image/MCY/9352146 </v>
      </c>
    </row>
    <row r="35" spans="1:12" ht="39.950000000000003" customHeight="1" x14ac:dyDescent="0.25">
      <c r="A35" s="6" t="s">
        <v>3684</v>
      </c>
      <c r="B35" s="7" t="s">
        <v>3685</v>
      </c>
      <c r="C35" s="8">
        <v>1</v>
      </c>
      <c r="D35" s="9">
        <v>79.989999999999995</v>
      </c>
      <c r="E35" s="8" t="s">
        <v>3686</v>
      </c>
      <c r="F35" s="7" t="s">
        <v>3363</v>
      </c>
      <c r="G35" s="10"/>
      <c r="H35" s="7" t="s">
        <v>3471</v>
      </c>
      <c r="I35" s="7" t="s">
        <v>3378</v>
      </c>
      <c r="J35" s="7" t="s">
        <v>3608</v>
      </c>
      <c r="K35" s="7"/>
      <c r="L35" s="11" t="str">
        <f>HYPERLINK("http://slimages.macys.com/is/image/MCY/12779303 ")</f>
        <v xml:space="preserve">http://slimages.macys.com/is/image/MCY/12779303 </v>
      </c>
    </row>
    <row r="36" spans="1:12" ht="39.950000000000003" customHeight="1" x14ac:dyDescent="0.25">
      <c r="A36" s="6" t="s">
        <v>635</v>
      </c>
      <c r="B36" s="7" t="s">
        <v>636</v>
      </c>
      <c r="C36" s="8">
        <v>1</v>
      </c>
      <c r="D36" s="9">
        <v>29.99</v>
      </c>
      <c r="E36" s="8">
        <v>21336238</v>
      </c>
      <c r="F36" s="7" t="s">
        <v>3525</v>
      </c>
      <c r="G36" s="10"/>
      <c r="H36" s="7" t="s">
        <v>3526</v>
      </c>
      <c r="I36" s="7" t="s">
        <v>3413</v>
      </c>
      <c r="J36" s="7" t="s">
        <v>3358</v>
      </c>
      <c r="K36" s="7"/>
      <c r="L36" s="11" t="str">
        <f>HYPERLINK("http://slimages.macys.com/is/image/MCY/15389782 ")</f>
        <v xml:space="preserve">http://slimages.macys.com/is/image/MCY/15389782 </v>
      </c>
    </row>
    <row r="37" spans="1:12" ht="39.950000000000003" customHeight="1" x14ac:dyDescent="0.25">
      <c r="A37" s="6" t="s">
        <v>637</v>
      </c>
      <c r="B37" s="7" t="s">
        <v>638</v>
      </c>
      <c r="C37" s="8">
        <v>1</v>
      </c>
      <c r="D37" s="9">
        <v>29.99</v>
      </c>
      <c r="E37" s="8" t="s">
        <v>639</v>
      </c>
      <c r="F37" s="7" t="s">
        <v>3384</v>
      </c>
      <c r="G37" s="10" t="s">
        <v>640</v>
      </c>
      <c r="H37" s="7" t="s">
        <v>3492</v>
      </c>
      <c r="I37" s="7" t="s">
        <v>3499</v>
      </c>
      <c r="J37" s="7" t="s">
        <v>3358</v>
      </c>
      <c r="K37" s="7"/>
      <c r="L37" s="11" t="str">
        <f>HYPERLINK("http://slimages.macys.com/is/image/MCY/16339124 ")</f>
        <v xml:space="preserve">http://slimages.macys.com/is/image/MCY/16339124 </v>
      </c>
    </row>
    <row r="38" spans="1:12" ht="39.950000000000003" customHeight="1" x14ac:dyDescent="0.25">
      <c r="A38" s="6" t="s">
        <v>641</v>
      </c>
      <c r="B38" s="7" t="s">
        <v>642</v>
      </c>
      <c r="C38" s="8">
        <v>1</v>
      </c>
      <c r="D38" s="9">
        <v>34.99</v>
      </c>
      <c r="E38" s="8">
        <v>63961</v>
      </c>
      <c r="F38" s="7" t="s">
        <v>3363</v>
      </c>
      <c r="G38" s="10" t="s">
        <v>3606</v>
      </c>
      <c r="H38" s="7" t="s">
        <v>3388</v>
      </c>
      <c r="I38" s="7" t="s">
        <v>3389</v>
      </c>
      <c r="J38" s="7" t="s">
        <v>3379</v>
      </c>
      <c r="K38" s="7" t="s">
        <v>492</v>
      </c>
      <c r="L38" s="11" t="str">
        <f>HYPERLINK("http://slimages.macys.com/is/image/MCY/3181504 ")</f>
        <v xml:space="preserve">http://slimages.macys.com/is/image/MCY/3181504 </v>
      </c>
    </row>
    <row r="39" spans="1:12" ht="39.950000000000003" customHeight="1" x14ac:dyDescent="0.25">
      <c r="A39" s="6" t="s">
        <v>643</v>
      </c>
      <c r="B39" s="7" t="s">
        <v>644</v>
      </c>
      <c r="C39" s="8">
        <v>1</v>
      </c>
      <c r="D39" s="9">
        <v>26.99</v>
      </c>
      <c r="E39" s="8" t="s">
        <v>645</v>
      </c>
      <c r="F39" s="7" t="s">
        <v>3363</v>
      </c>
      <c r="G39" s="10"/>
      <c r="H39" s="7" t="s">
        <v>3388</v>
      </c>
      <c r="I39" s="7" t="s">
        <v>2602</v>
      </c>
      <c r="J39" s="7"/>
      <c r="K39" s="7"/>
      <c r="L39" s="11" t="str">
        <f>HYPERLINK("http://slimages.macys.com/is/image/MCY/17318970 ")</f>
        <v xml:space="preserve">http://slimages.macys.com/is/image/MCY/17318970 </v>
      </c>
    </row>
    <row r="40" spans="1:12" ht="39.950000000000003" customHeight="1" x14ac:dyDescent="0.25">
      <c r="A40" s="6" t="s">
        <v>646</v>
      </c>
      <c r="B40" s="7" t="s">
        <v>647</v>
      </c>
      <c r="C40" s="8">
        <v>1</v>
      </c>
      <c r="D40" s="9">
        <v>29.99</v>
      </c>
      <c r="E40" s="8" t="s">
        <v>648</v>
      </c>
      <c r="F40" s="7" t="s">
        <v>3355</v>
      </c>
      <c r="G40" s="10"/>
      <c r="H40" s="7" t="s">
        <v>3431</v>
      </c>
      <c r="I40" s="7" t="s">
        <v>356</v>
      </c>
      <c r="J40" s="7" t="s">
        <v>3751</v>
      </c>
      <c r="K40" s="7" t="s">
        <v>3390</v>
      </c>
      <c r="L40" s="11" t="str">
        <f>HYPERLINK("http://slimages.macys.com/is/image/MCY/14718151 ")</f>
        <v xml:space="preserve">http://slimages.macys.com/is/image/MCY/14718151 </v>
      </c>
    </row>
    <row r="41" spans="1:12" ht="39.950000000000003" customHeight="1" x14ac:dyDescent="0.25">
      <c r="A41" s="6" t="s">
        <v>649</v>
      </c>
      <c r="B41" s="7" t="s">
        <v>650</v>
      </c>
      <c r="C41" s="8">
        <v>1</v>
      </c>
      <c r="D41" s="9">
        <v>21.56</v>
      </c>
      <c r="E41" s="8" t="s">
        <v>651</v>
      </c>
      <c r="F41" s="7" t="s">
        <v>3481</v>
      </c>
      <c r="G41" s="10"/>
      <c r="H41" s="7" t="s">
        <v>3515</v>
      </c>
      <c r="I41" s="7" t="s">
        <v>4231</v>
      </c>
      <c r="J41" s="7"/>
      <c r="K41" s="7"/>
      <c r="L41" s="11" t="str">
        <f>HYPERLINK("http://slimages.macys.com/is/image/MCY/17999410 ")</f>
        <v xml:space="preserve">http://slimages.macys.com/is/image/MCY/17999410 </v>
      </c>
    </row>
    <row r="42" spans="1:12" ht="39.950000000000003" customHeight="1" x14ac:dyDescent="0.25">
      <c r="A42" s="6" t="s">
        <v>652</v>
      </c>
      <c r="B42" s="7" t="s">
        <v>653</v>
      </c>
      <c r="C42" s="8">
        <v>3</v>
      </c>
      <c r="D42" s="9">
        <v>89.97</v>
      </c>
      <c r="E42" s="8" t="s">
        <v>654</v>
      </c>
      <c r="F42" s="7" t="s">
        <v>3363</v>
      </c>
      <c r="G42" s="10"/>
      <c r="H42" s="7" t="s">
        <v>3471</v>
      </c>
      <c r="I42" s="7" t="s">
        <v>3378</v>
      </c>
      <c r="J42" s="7" t="s">
        <v>3358</v>
      </c>
      <c r="K42" s="7"/>
      <c r="L42" s="11" t="str">
        <f>HYPERLINK("http://slimages.macys.com/is/image/MCY/16904236 ")</f>
        <v xml:space="preserve">http://slimages.macys.com/is/image/MCY/16904236 </v>
      </c>
    </row>
    <row r="43" spans="1:12" ht="39.950000000000003" customHeight="1" x14ac:dyDescent="0.25">
      <c r="A43" s="6" t="s">
        <v>655</v>
      </c>
      <c r="B43" s="7" t="s">
        <v>656</v>
      </c>
      <c r="C43" s="8">
        <v>1</v>
      </c>
      <c r="D43" s="9">
        <v>18.989999999999998</v>
      </c>
      <c r="E43" s="8" t="s">
        <v>657</v>
      </c>
      <c r="F43" s="7" t="s">
        <v>2740</v>
      </c>
      <c r="G43" s="10"/>
      <c r="H43" s="7" t="s">
        <v>3526</v>
      </c>
      <c r="I43" s="7" t="s">
        <v>3527</v>
      </c>
      <c r="J43" s="7" t="s">
        <v>3358</v>
      </c>
      <c r="K43" s="7" t="s">
        <v>3390</v>
      </c>
      <c r="L43" s="11" t="str">
        <f>HYPERLINK("http://slimages.macys.com/is/image/MCY/3153811 ")</f>
        <v xml:space="preserve">http://slimages.macys.com/is/image/MCY/3153811 </v>
      </c>
    </row>
    <row r="44" spans="1:12" ht="39.950000000000003" customHeight="1" x14ac:dyDescent="0.25">
      <c r="A44" s="6" t="s">
        <v>658</v>
      </c>
      <c r="B44" s="7" t="s">
        <v>659</v>
      </c>
      <c r="C44" s="8">
        <v>1</v>
      </c>
      <c r="D44" s="9">
        <v>29.99</v>
      </c>
      <c r="E44" s="8" t="s">
        <v>660</v>
      </c>
      <c r="F44" s="7" t="s">
        <v>3407</v>
      </c>
      <c r="G44" s="10"/>
      <c r="H44" s="7" t="s">
        <v>3408</v>
      </c>
      <c r="I44" s="7" t="s">
        <v>3409</v>
      </c>
      <c r="J44" s="7"/>
      <c r="K44" s="7"/>
      <c r="L44" s="11" t="str">
        <f>HYPERLINK("http://slimages.macys.com/is/image/MCY/18159735 ")</f>
        <v xml:space="preserve">http://slimages.macys.com/is/image/MCY/18159735 </v>
      </c>
    </row>
    <row r="45" spans="1:12" ht="39.950000000000003" customHeight="1" x14ac:dyDescent="0.25">
      <c r="A45" s="6" t="s">
        <v>2955</v>
      </c>
      <c r="B45" s="7" t="s">
        <v>2956</v>
      </c>
      <c r="C45" s="8">
        <v>2</v>
      </c>
      <c r="D45" s="9">
        <v>33.979999999999997</v>
      </c>
      <c r="E45" s="8">
        <v>202007</v>
      </c>
      <c r="F45" s="7" t="s">
        <v>3363</v>
      </c>
      <c r="G45" s="10"/>
      <c r="H45" s="7" t="s">
        <v>3388</v>
      </c>
      <c r="I45" s="7" t="s">
        <v>3423</v>
      </c>
      <c r="J45" s="7" t="s">
        <v>3358</v>
      </c>
      <c r="K45" s="7" t="s">
        <v>2957</v>
      </c>
      <c r="L45" s="11" t="str">
        <f>HYPERLINK("http://slimages.macys.com/is/image/MCY/16053943 ")</f>
        <v xml:space="preserve">http://slimages.macys.com/is/image/MCY/16053943 </v>
      </c>
    </row>
    <row r="46" spans="1:12" ht="39.950000000000003" customHeight="1" x14ac:dyDescent="0.25">
      <c r="A46" s="6" t="s">
        <v>661</v>
      </c>
      <c r="B46" s="7" t="s">
        <v>662</v>
      </c>
      <c r="C46" s="8">
        <v>1</v>
      </c>
      <c r="D46" s="9">
        <v>13.99</v>
      </c>
      <c r="E46" s="8" t="s">
        <v>663</v>
      </c>
      <c r="F46" s="7" t="s">
        <v>3498</v>
      </c>
      <c r="G46" s="10" t="s">
        <v>551</v>
      </c>
      <c r="H46" s="7" t="s">
        <v>3388</v>
      </c>
      <c r="I46" s="7" t="s">
        <v>2964</v>
      </c>
      <c r="J46" s="7"/>
      <c r="K46" s="7"/>
      <c r="L46" s="11" t="str">
        <f>HYPERLINK("http://slimages.macys.com/is/image/MCY/17899743 ")</f>
        <v xml:space="preserve">http://slimages.macys.com/is/image/MCY/17899743 </v>
      </c>
    </row>
    <row r="47" spans="1:12" ht="39.950000000000003" customHeight="1" x14ac:dyDescent="0.25">
      <c r="A47" s="6" t="s">
        <v>3540</v>
      </c>
      <c r="B47" s="7" t="s">
        <v>3541</v>
      </c>
      <c r="C47" s="8">
        <v>13</v>
      </c>
      <c r="D47" s="9">
        <v>520</v>
      </c>
      <c r="E47" s="8"/>
      <c r="F47" s="7" t="s">
        <v>3542</v>
      </c>
      <c r="G47" s="10" t="s">
        <v>3504</v>
      </c>
      <c r="H47" s="7" t="s">
        <v>3543</v>
      </c>
      <c r="I47" s="7" t="s">
        <v>3544</v>
      </c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</sheetData>
  <phoneticPr fontId="0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664</v>
      </c>
      <c r="B2" s="7" t="s">
        <v>665</v>
      </c>
      <c r="C2" s="8">
        <v>1</v>
      </c>
      <c r="D2" s="9">
        <v>855</v>
      </c>
      <c r="E2" s="8" t="s">
        <v>666</v>
      </c>
      <c r="F2" s="7" t="s">
        <v>3617</v>
      </c>
      <c r="G2" s="10"/>
      <c r="H2" s="7" t="s">
        <v>3397</v>
      </c>
      <c r="I2" s="7" t="s">
        <v>2401</v>
      </c>
      <c r="J2" s="7" t="s">
        <v>3751</v>
      </c>
      <c r="K2" s="7" t="s">
        <v>667</v>
      </c>
      <c r="L2" s="11" t="str">
        <f>HYPERLINK("http://images.bloomingdales.com/is/image/BLM/10987786 ")</f>
        <v xml:space="preserve">http://images.bloomingdales.com/is/image/BLM/10987786 </v>
      </c>
    </row>
    <row r="3" spans="1:12" ht="39.950000000000003" customHeight="1" x14ac:dyDescent="0.25">
      <c r="A3" s="6" t="s">
        <v>668</v>
      </c>
      <c r="B3" s="7" t="s">
        <v>669</v>
      </c>
      <c r="C3" s="8">
        <v>1</v>
      </c>
      <c r="D3" s="9">
        <v>775</v>
      </c>
      <c r="E3" s="8" t="s">
        <v>670</v>
      </c>
      <c r="F3" s="7" t="s">
        <v>3363</v>
      </c>
      <c r="G3" s="10" t="s">
        <v>3364</v>
      </c>
      <c r="H3" s="7" t="s">
        <v>3377</v>
      </c>
      <c r="I3" s="7" t="s">
        <v>4188</v>
      </c>
      <c r="J3" s="7" t="s">
        <v>3379</v>
      </c>
      <c r="K3" s="7"/>
      <c r="L3" s="11" t="str">
        <f>HYPERLINK("http://images.bloomingdales.com/is/image/BLM/10265448 ")</f>
        <v xml:space="preserve">http://images.bloomingdales.com/is/image/BLM/10265448 </v>
      </c>
    </row>
    <row r="4" spans="1:12" ht="39.950000000000003" customHeight="1" x14ac:dyDescent="0.25">
      <c r="A4" s="6" t="s">
        <v>671</v>
      </c>
      <c r="B4" s="7" t="s">
        <v>672</v>
      </c>
      <c r="C4" s="8">
        <v>1</v>
      </c>
      <c r="D4" s="9">
        <v>248</v>
      </c>
      <c r="E4" s="8" t="s">
        <v>673</v>
      </c>
      <c r="F4" s="7" t="s">
        <v>3363</v>
      </c>
      <c r="G4" s="10"/>
      <c r="H4" s="7" t="s">
        <v>3412</v>
      </c>
      <c r="I4" s="7" t="s">
        <v>1511</v>
      </c>
      <c r="J4" s="7" t="s">
        <v>1623</v>
      </c>
      <c r="K4" s="7" t="s">
        <v>3814</v>
      </c>
      <c r="L4" s="11" t="str">
        <f>HYPERLINK("http://images.bloomingdales.com/is/image/BLM/10580126 ")</f>
        <v xml:space="preserve">http://images.bloomingdales.com/is/image/BLM/10580126 </v>
      </c>
    </row>
    <row r="5" spans="1:12" ht="39.950000000000003" customHeight="1" x14ac:dyDescent="0.25">
      <c r="A5" s="6" t="s">
        <v>674</v>
      </c>
      <c r="B5" s="7" t="s">
        <v>675</v>
      </c>
      <c r="C5" s="8">
        <v>1</v>
      </c>
      <c r="D5" s="9">
        <v>244.99</v>
      </c>
      <c r="E5" s="8" t="s">
        <v>676</v>
      </c>
      <c r="F5" s="7" t="s">
        <v>3498</v>
      </c>
      <c r="G5" s="10"/>
      <c r="H5" s="7" t="s">
        <v>3412</v>
      </c>
      <c r="I5" s="7" t="s">
        <v>3436</v>
      </c>
      <c r="J5" s="7" t="s">
        <v>3358</v>
      </c>
      <c r="K5" s="7" t="s">
        <v>677</v>
      </c>
      <c r="L5" s="11" t="str">
        <f>HYPERLINK("http://slimages.macys.com/is/image/MCY/9536261 ")</f>
        <v xml:space="preserve">http://slimages.macys.com/is/image/MCY/9536261 </v>
      </c>
    </row>
    <row r="6" spans="1:12" ht="39.950000000000003" customHeight="1" x14ac:dyDescent="0.25">
      <c r="A6" s="6" t="s">
        <v>678</v>
      </c>
      <c r="B6" s="7" t="s">
        <v>679</v>
      </c>
      <c r="C6" s="8">
        <v>1</v>
      </c>
      <c r="D6" s="9">
        <v>415</v>
      </c>
      <c r="E6" s="8" t="s">
        <v>680</v>
      </c>
      <c r="F6" s="7" t="s">
        <v>3514</v>
      </c>
      <c r="G6" s="10"/>
      <c r="H6" s="7" t="s">
        <v>3365</v>
      </c>
      <c r="I6" s="7" t="s">
        <v>3855</v>
      </c>
      <c r="J6" s="7" t="s">
        <v>3813</v>
      </c>
      <c r="K6" s="7" t="s">
        <v>681</v>
      </c>
      <c r="L6" s="11" t="str">
        <f>HYPERLINK("http://images.bloomingdales.com/is/image/BLM/11007135 ")</f>
        <v xml:space="preserve">http://images.bloomingdales.com/is/image/BLM/11007135 </v>
      </c>
    </row>
    <row r="7" spans="1:12" ht="39.950000000000003" customHeight="1" x14ac:dyDescent="0.25">
      <c r="A7" s="6" t="s">
        <v>682</v>
      </c>
      <c r="B7" s="7" t="s">
        <v>683</v>
      </c>
      <c r="C7" s="8">
        <v>1</v>
      </c>
      <c r="D7" s="9">
        <v>400</v>
      </c>
      <c r="E7" s="8" t="s">
        <v>684</v>
      </c>
      <c r="F7" s="7" t="s">
        <v>3514</v>
      </c>
      <c r="G7" s="10"/>
      <c r="H7" s="7" t="s">
        <v>3365</v>
      </c>
      <c r="I7" s="7" t="s">
        <v>3855</v>
      </c>
      <c r="J7" s="7" t="s">
        <v>3751</v>
      </c>
      <c r="K7" s="7" t="s">
        <v>685</v>
      </c>
      <c r="L7" s="11" t="str">
        <f>HYPERLINK("http://images.bloomingdales.com/is/image/BLM/11007119 ")</f>
        <v xml:space="preserve">http://images.bloomingdales.com/is/image/BLM/11007119 </v>
      </c>
    </row>
    <row r="8" spans="1:12" ht="39.950000000000003" customHeight="1" x14ac:dyDescent="0.25">
      <c r="A8" s="6" t="s">
        <v>686</v>
      </c>
      <c r="B8" s="7" t="s">
        <v>687</v>
      </c>
      <c r="C8" s="8">
        <v>1</v>
      </c>
      <c r="D8" s="9">
        <v>340</v>
      </c>
      <c r="E8" s="8" t="s">
        <v>688</v>
      </c>
      <c r="F8" s="7" t="s">
        <v>3600</v>
      </c>
      <c r="G8" s="10"/>
      <c r="H8" s="7" t="s">
        <v>3365</v>
      </c>
      <c r="I8" s="7" t="s">
        <v>3855</v>
      </c>
      <c r="J8" s="7"/>
      <c r="K8" s="7"/>
      <c r="L8" s="11" t="str">
        <f>HYPERLINK("http://slimages.macys.com/is/image/MCY/2369279 ")</f>
        <v xml:space="preserve">http://slimages.macys.com/is/image/MCY/2369279 </v>
      </c>
    </row>
    <row r="9" spans="1:12" ht="39.950000000000003" customHeight="1" x14ac:dyDescent="0.25">
      <c r="A9" s="6" t="s">
        <v>689</v>
      </c>
      <c r="B9" s="7" t="s">
        <v>690</v>
      </c>
      <c r="C9" s="8">
        <v>1</v>
      </c>
      <c r="D9" s="9">
        <v>179.99</v>
      </c>
      <c r="E9" s="8">
        <v>82209</v>
      </c>
      <c r="F9" s="7" t="s">
        <v>3384</v>
      </c>
      <c r="G9" s="10"/>
      <c r="H9" s="7" t="s">
        <v>3412</v>
      </c>
      <c r="I9" s="7" t="s">
        <v>3595</v>
      </c>
      <c r="J9" s="7"/>
      <c r="K9" s="7"/>
      <c r="L9" s="11" t="str">
        <f>HYPERLINK("http://slimages.macys.com/is/image/MCY/17257946 ")</f>
        <v xml:space="preserve">http://slimages.macys.com/is/image/MCY/17257946 </v>
      </c>
    </row>
    <row r="10" spans="1:12" ht="39.950000000000003" customHeight="1" x14ac:dyDescent="0.25">
      <c r="A10" s="6" t="s">
        <v>691</v>
      </c>
      <c r="B10" s="7" t="s">
        <v>692</v>
      </c>
      <c r="C10" s="8">
        <v>1</v>
      </c>
      <c r="D10" s="9">
        <v>400</v>
      </c>
      <c r="E10" s="8" t="s">
        <v>693</v>
      </c>
      <c r="F10" s="7" t="s">
        <v>3925</v>
      </c>
      <c r="G10" s="10"/>
      <c r="H10" s="7" t="s">
        <v>3365</v>
      </c>
      <c r="I10" s="7" t="s">
        <v>3855</v>
      </c>
      <c r="J10" s="7" t="s">
        <v>3751</v>
      </c>
      <c r="K10" s="7" t="s">
        <v>694</v>
      </c>
      <c r="L10" s="11" t="str">
        <f>HYPERLINK("http://images.bloomingdales.com/is/image/BLM/11006941 ")</f>
        <v xml:space="preserve">http://images.bloomingdales.com/is/image/BLM/11006941 </v>
      </c>
    </row>
    <row r="11" spans="1:12" ht="39.950000000000003" customHeight="1" x14ac:dyDescent="0.25">
      <c r="A11" s="6" t="s">
        <v>695</v>
      </c>
      <c r="B11" s="7" t="s">
        <v>696</v>
      </c>
      <c r="C11" s="8">
        <v>1</v>
      </c>
      <c r="D11" s="9">
        <v>129.99</v>
      </c>
      <c r="E11" s="8" t="s">
        <v>697</v>
      </c>
      <c r="F11" s="7" t="s">
        <v>3363</v>
      </c>
      <c r="G11" s="10"/>
      <c r="H11" s="7" t="s">
        <v>3397</v>
      </c>
      <c r="I11" s="7" t="s">
        <v>3590</v>
      </c>
      <c r="J11" s="7" t="s">
        <v>3358</v>
      </c>
      <c r="K11" s="7" t="s">
        <v>698</v>
      </c>
      <c r="L11" s="11" t="str">
        <f>HYPERLINK("http://slimages.macys.com/is/image/MCY/9302453 ")</f>
        <v xml:space="preserve">http://slimages.macys.com/is/image/MCY/9302453 </v>
      </c>
    </row>
    <row r="12" spans="1:12" ht="39.950000000000003" customHeight="1" x14ac:dyDescent="0.25">
      <c r="A12" s="6" t="s">
        <v>699</v>
      </c>
      <c r="B12" s="7" t="s">
        <v>1412</v>
      </c>
      <c r="C12" s="8">
        <v>1</v>
      </c>
      <c r="D12" s="9">
        <v>270</v>
      </c>
      <c r="E12" s="8" t="s">
        <v>700</v>
      </c>
      <c r="F12" s="7" t="s">
        <v>3363</v>
      </c>
      <c r="G12" s="10"/>
      <c r="H12" s="7" t="s">
        <v>3365</v>
      </c>
      <c r="I12" s="7" t="s">
        <v>3855</v>
      </c>
      <c r="J12" s="7" t="s">
        <v>3751</v>
      </c>
      <c r="K12" s="7" t="s">
        <v>701</v>
      </c>
      <c r="L12" s="11" t="str">
        <f>HYPERLINK("http://images.bloomingdales.com/is/image/BLM/9688749 ")</f>
        <v xml:space="preserve">http://images.bloomingdales.com/is/image/BLM/9688749 </v>
      </c>
    </row>
    <row r="13" spans="1:12" ht="39.950000000000003" customHeight="1" x14ac:dyDescent="0.25">
      <c r="A13" s="6" t="s">
        <v>702</v>
      </c>
      <c r="B13" s="7" t="s">
        <v>703</v>
      </c>
      <c r="C13" s="8">
        <v>1</v>
      </c>
      <c r="D13" s="9">
        <v>129.99</v>
      </c>
      <c r="E13" s="8" t="s">
        <v>704</v>
      </c>
      <c r="F13" s="7" t="s">
        <v>3525</v>
      </c>
      <c r="G13" s="10"/>
      <c r="H13" s="7" t="s">
        <v>3412</v>
      </c>
      <c r="I13" s="7" t="s">
        <v>705</v>
      </c>
      <c r="J13" s="7"/>
      <c r="K13" s="7"/>
      <c r="L13" s="11" t="str">
        <f>HYPERLINK("http://slimages.macys.com/is/image/MCY/17785741 ")</f>
        <v xml:space="preserve">http://slimages.macys.com/is/image/MCY/17785741 </v>
      </c>
    </row>
    <row r="14" spans="1:12" ht="39.950000000000003" customHeight="1" x14ac:dyDescent="0.25">
      <c r="A14" s="6" t="s">
        <v>706</v>
      </c>
      <c r="B14" s="7" t="s">
        <v>707</v>
      </c>
      <c r="C14" s="8">
        <v>1</v>
      </c>
      <c r="D14" s="9">
        <v>99.99</v>
      </c>
      <c r="E14" s="8">
        <v>221051</v>
      </c>
      <c r="F14" s="7" t="s">
        <v>3632</v>
      </c>
      <c r="G14" s="10"/>
      <c r="H14" s="7" t="s">
        <v>3876</v>
      </c>
      <c r="I14" s="7" t="s">
        <v>2268</v>
      </c>
      <c r="J14" s="7" t="s">
        <v>3358</v>
      </c>
      <c r="K14" s="7" t="s">
        <v>3484</v>
      </c>
      <c r="L14" s="11" t="str">
        <f>HYPERLINK("http://slimages.macys.com/is/image/MCY/10276300 ")</f>
        <v xml:space="preserve">http://slimages.macys.com/is/image/MCY/10276300 </v>
      </c>
    </row>
    <row r="15" spans="1:12" ht="39.950000000000003" customHeight="1" x14ac:dyDescent="0.25">
      <c r="A15" s="6" t="s">
        <v>708</v>
      </c>
      <c r="B15" s="7" t="s">
        <v>709</v>
      </c>
      <c r="C15" s="8">
        <v>2</v>
      </c>
      <c r="D15" s="9">
        <v>460</v>
      </c>
      <c r="E15" s="8" t="s">
        <v>710</v>
      </c>
      <c r="F15" s="7" t="s">
        <v>3384</v>
      </c>
      <c r="G15" s="10" t="s">
        <v>3663</v>
      </c>
      <c r="H15" s="7" t="s">
        <v>3471</v>
      </c>
      <c r="I15" s="7" t="s">
        <v>711</v>
      </c>
      <c r="J15" s="7" t="s">
        <v>1956</v>
      </c>
      <c r="K15" s="7" t="s">
        <v>418</v>
      </c>
      <c r="L15" s="11" t="str">
        <f>HYPERLINK("http://slimages.macys.com/is/image/MCY/15793009 ")</f>
        <v xml:space="preserve">http://slimages.macys.com/is/image/MCY/15793009 </v>
      </c>
    </row>
    <row r="16" spans="1:12" ht="39.950000000000003" customHeight="1" x14ac:dyDescent="0.25">
      <c r="A16" s="6" t="s">
        <v>712</v>
      </c>
      <c r="B16" s="7" t="s">
        <v>713</v>
      </c>
      <c r="C16" s="8">
        <v>2</v>
      </c>
      <c r="D16" s="9">
        <v>370</v>
      </c>
      <c r="E16" s="8" t="s">
        <v>714</v>
      </c>
      <c r="F16" s="7" t="s">
        <v>3514</v>
      </c>
      <c r="G16" s="10"/>
      <c r="H16" s="7" t="s">
        <v>3365</v>
      </c>
      <c r="I16" s="7" t="s">
        <v>3855</v>
      </c>
      <c r="J16" s="7" t="s">
        <v>3813</v>
      </c>
      <c r="K16" s="7" t="s">
        <v>715</v>
      </c>
      <c r="L16" s="11" t="str">
        <f>HYPERLINK("http://images.bloomingdales.com/is/image/BLM/11007132 ")</f>
        <v xml:space="preserve">http://images.bloomingdales.com/is/image/BLM/11007132 </v>
      </c>
    </row>
    <row r="17" spans="1:12" ht="39.950000000000003" customHeight="1" x14ac:dyDescent="0.25">
      <c r="A17" s="6" t="s">
        <v>716</v>
      </c>
      <c r="B17" s="7" t="s">
        <v>717</v>
      </c>
      <c r="C17" s="8">
        <v>1</v>
      </c>
      <c r="D17" s="9">
        <v>99.99</v>
      </c>
      <c r="E17" s="8" t="s">
        <v>718</v>
      </c>
      <c r="F17" s="7" t="s">
        <v>3426</v>
      </c>
      <c r="G17" s="10"/>
      <c r="H17" s="7" t="s">
        <v>3412</v>
      </c>
      <c r="I17" s="7" t="s">
        <v>3436</v>
      </c>
      <c r="J17" s="7" t="s">
        <v>3358</v>
      </c>
      <c r="K17" s="7" t="s">
        <v>719</v>
      </c>
      <c r="L17" s="11" t="str">
        <f>HYPERLINK("http://slimages.macys.com/is/image/MCY/8930319 ")</f>
        <v xml:space="preserve">http://slimages.macys.com/is/image/MCY/8930319 </v>
      </c>
    </row>
    <row r="18" spans="1:12" ht="39.950000000000003" customHeight="1" x14ac:dyDescent="0.25">
      <c r="A18" s="6" t="s">
        <v>720</v>
      </c>
      <c r="B18" s="7" t="s">
        <v>721</v>
      </c>
      <c r="C18" s="8">
        <v>1</v>
      </c>
      <c r="D18" s="9">
        <v>109.99</v>
      </c>
      <c r="E18" s="8" t="s">
        <v>722</v>
      </c>
      <c r="F18" s="7" t="s">
        <v>3355</v>
      </c>
      <c r="G18" s="10" t="s">
        <v>723</v>
      </c>
      <c r="H18" s="7" t="s">
        <v>3356</v>
      </c>
      <c r="I18" s="7" t="s">
        <v>724</v>
      </c>
      <c r="J18" s="7"/>
      <c r="K18" s="7"/>
      <c r="L18" s="11" t="str">
        <f>HYPERLINK("http://slimages.macys.com/is/image/MCY/17546332 ")</f>
        <v xml:space="preserve">http://slimages.macys.com/is/image/MCY/17546332 </v>
      </c>
    </row>
    <row r="19" spans="1:12" ht="39.950000000000003" customHeight="1" x14ac:dyDescent="0.25">
      <c r="A19" s="6" t="s">
        <v>725</v>
      </c>
      <c r="B19" s="7" t="s">
        <v>726</v>
      </c>
      <c r="C19" s="8">
        <v>1</v>
      </c>
      <c r="D19" s="9">
        <v>78.11</v>
      </c>
      <c r="E19" s="8" t="s">
        <v>727</v>
      </c>
      <c r="F19" s="7"/>
      <c r="G19" s="10"/>
      <c r="H19" s="7" t="s">
        <v>3471</v>
      </c>
      <c r="I19" s="7" t="s">
        <v>2556</v>
      </c>
      <c r="J19" s="7" t="s">
        <v>3751</v>
      </c>
      <c r="K19" s="7" t="s">
        <v>728</v>
      </c>
      <c r="L19" s="11" t="str">
        <f>HYPERLINK("http://images.bloomingdales.com/is/image/BLM/9437463 ")</f>
        <v xml:space="preserve">http://images.bloomingdales.com/is/image/BLM/9437463 </v>
      </c>
    </row>
    <row r="20" spans="1:12" ht="39.950000000000003" customHeight="1" x14ac:dyDescent="0.25">
      <c r="A20" s="6" t="s">
        <v>729</v>
      </c>
      <c r="B20" s="7" t="s">
        <v>730</v>
      </c>
      <c r="C20" s="8">
        <v>1</v>
      </c>
      <c r="D20" s="9">
        <v>99.99</v>
      </c>
      <c r="E20" s="8" t="s">
        <v>731</v>
      </c>
      <c r="F20" s="7" t="s">
        <v>3363</v>
      </c>
      <c r="G20" s="10"/>
      <c r="H20" s="7" t="s">
        <v>3377</v>
      </c>
      <c r="I20" s="7" t="s">
        <v>732</v>
      </c>
      <c r="J20" s="7"/>
      <c r="K20" s="7"/>
      <c r="L20" s="11" t="str">
        <f>HYPERLINK("http://slimages.macys.com/is/image/MCY/17594680 ")</f>
        <v xml:space="preserve">http://slimages.macys.com/is/image/MCY/17594680 </v>
      </c>
    </row>
    <row r="21" spans="1:12" ht="39.950000000000003" customHeight="1" x14ac:dyDescent="0.25">
      <c r="A21" s="6" t="s">
        <v>733</v>
      </c>
      <c r="B21" s="7" t="s">
        <v>734</v>
      </c>
      <c r="C21" s="8">
        <v>1</v>
      </c>
      <c r="D21" s="9">
        <v>89.99</v>
      </c>
      <c r="E21" s="8" t="s">
        <v>735</v>
      </c>
      <c r="F21" s="7" t="s">
        <v>4049</v>
      </c>
      <c r="G21" s="10"/>
      <c r="H21" s="7" t="s">
        <v>3408</v>
      </c>
      <c r="I21" s="7" t="s">
        <v>3409</v>
      </c>
      <c r="J21" s="7" t="s">
        <v>3358</v>
      </c>
      <c r="K21" s="7" t="s">
        <v>3521</v>
      </c>
      <c r="L21" s="11" t="str">
        <f>HYPERLINK("http://slimages.macys.com/is/image/MCY/9997431 ")</f>
        <v xml:space="preserve">http://slimages.macys.com/is/image/MCY/9997431 </v>
      </c>
    </row>
    <row r="22" spans="1:12" ht="39.950000000000003" customHeight="1" x14ac:dyDescent="0.25">
      <c r="A22" s="6" t="s">
        <v>620</v>
      </c>
      <c r="B22" s="7" t="s">
        <v>736</v>
      </c>
      <c r="C22" s="8">
        <v>1</v>
      </c>
      <c r="D22" s="9">
        <v>89.99</v>
      </c>
      <c r="E22" s="8" t="s">
        <v>622</v>
      </c>
      <c r="F22" s="7" t="s">
        <v>3363</v>
      </c>
      <c r="G22" s="10"/>
      <c r="H22" s="7" t="s">
        <v>3418</v>
      </c>
      <c r="I22" s="7" t="s">
        <v>3419</v>
      </c>
      <c r="J22" s="7"/>
      <c r="K22" s="7"/>
      <c r="L22" s="11" t="str">
        <f>HYPERLINK("http://slimages.macys.com/is/image/MCY/18097083 ")</f>
        <v xml:space="preserve">http://slimages.macys.com/is/image/MCY/18097083 </v>
      </c>
    </row>
    <row r="23" spans="1:12" ht="39.950000000000003" customHeight="1" x14ac:dyDescent="0.25">
      <c r="A23" s="6" t="s">
        <v>737</v>
      </c>
      <c r="B23" s="7" t="s">
        <v>738</v>
      </c>
      <c r="C23" s="8">
        <v>1</v>
      </c>
      <c r="D23" s="9">
        <v>64.989999999999995</v>
      </c>
      <c r="E23" s="8">
        <v>100071457</v>
      </c>
      <c r="F23" s="7" t="s">
        <v>3498</v>
      </c>
      <c r="G23" s="10" t="s">
        <v>3453</v>
      </c>
      <c r="H23" s="7" t="s">
        <v>3454</v>
      </c>
      <c r="I23" s="7" t="s">
        <v>3915</v>
      </c>
      <c r="J23" s="7" t="s">
        <v>3358</v>
      </c>
      <c r="K23" s="7"/>
      <c r="L23" s="11" t="str">
        <f>HYPERLINK("http://slimages.macys.com/is/image/MCY/14337717 ")</f>
        <v xml:space="preserve">http://slimages.macys.com/is/image/MCY/14337717 </v>
      </c>
    </row>
    <row r="24" spans="1:12" ht="39.950000000000003" customHeight="1" x14ac:dyDescent="0.25">
      <c r="A24" s="6" t="s">
        <v>739</v>
      </c>
      <c r="B24" s="7" t="s">
        <v>740</v>
      </c>
      <c r="C24" s="8">
        <v>1</v>
      </c>
      <c r="D24" s="9">
        <v>139.99</v>
      </c>
      <c r="E24" s="8" t="s">
        <v>741</v>
      </c>
      <c r="F24" s="7" t="s">
        <v>3531</v>
      </c>
      <c r="G24" s="10" t="s">
        <v>2497</v>
      </c>
      <c r="H24" s="7" t="s">
        <v>3365</v>
      </c>
      <c r="I24" s="7" t="s">
        <v>3366</v>
      </c>
      <c r="J24" s="7" t="s">
        <v>3358</v>
      </c>
      <c r="K24" s="7" t="s">
        <v>4138</v>
      </c>
      <c r="L24" s="11" t="str">
        <f>HYPERLINK("http://slimages.macys.com/is/image/MCY/8182285 ")</f>
        <v xml:space="preserve">http://slimages.macys.com/is/image/MCY/8182285 </v>
      </c>
    </row>
    <row r="25" spans="1:12" ht="39.950000000000003" customHeight="1" x14ac:dyDescent="0.25">
      <c r="A25" s="6" t="s">
        <v>742</v>
      </c>
      <c r="B25" s="7" t="s">
        <v>743</v>
      </c>
      <c r="C25" s="8">
        <v>1</v>
      </c>
      <c r="D25" s="9">
        <v>79.989999999999995</v>
      </c>
      <c r="E25" s="8" t="s">
        <v>744</v>
      </c>
      <c r="F25" s="7" t="s">
        <v>3355</v>
      </c>
      <c r="G25" s="10"/>
      <c r="H25" s="7" t="s">
        <v>3365</v>
      </c>
      <c r="I25" s="7" t="s">
        <v>3558</v>
      </c>
      <c r="J25" s="7" t="s">
        <v>3358</v>
      </c>
      <c r="K25" s="7"/>
      <c r="L25" s="11" t="str">
        <f>HYPERLINK("http://slimages.macys.com/is/image/MCY/9621146 ")</f>
        <v xml:space="preserve">http://slimages.macys.com/is/image/MCY/9621146 </v>
      </c>
    </row>
    <row r="26" spans="1:12" ht="39.950000000000003" customHeight="1" x14ac:dyDescent="0.25">
      <c r="A26" s="6" t="s">
        <v>745</v>
      </c>
      <c r="B26" s="7" t="s">
        <v>746</v>
      </c>
      <c r="C26" s="8">
        <v>1</v>
      </c>
      <c r="D26" s="9">
        <v>139.99</v>
      </c>
      <c r="E26" s="8" t="s">
        <v>747</v>
      </c>
      <c r="F26" s="7" t="s">
        <v>3553</v>
      </c>
      <c r="G26" s="10" t="s">
        <v>2497</v>
      </c>
      <c r="H26" s="7" t="s">
        <v>3365</v>
      </c>
      <c r="I26" s="7" t="s">
        <v>3366</v>
      </c>
      <c r="J26" s="7" t="s">
        <v>3358</v>
      </c>
      <c r="K26" s="7" t="s">
        <v>4138</v>
      </c>
      <c r="L26" s="11" t="str">
        <f>HYPERLINK("http://slimages.macys.com/is/image/MCY/8182285 ")</f>
        <v xml:space="preserve">http://slimages.macys.com/is/image/MCY/8182285 </v>
      </c>
    </row>
    <row r="27" spans="1:12" ht="39.950000000000003" customHeight="1" x14ac:dyDescent="0.25">
      <c r="A27" s="6" t="s">
        <v>748</v>
      </c>
      <c r="B27" s="7" t="s">
        <v>749</v>
      </c>
      <c r="C27" s="8">
        <v>1</v>
      </c>
      <c r="D27" s="9">
        <v>69.989999999999995</v>
      </c>
      <c r="E27" s="8" t="s">
        <v>750</v>
      </c>
      <c r="F27" s="7" t="s">
        <v>3384</v>
      </c>
      <c r="G27" s="10" t="s">
        <v>3893</v>
      </c>
      <c r="H27" s="7" t="s">
        <v>3397</v>
      </c>
      <c r="I27" s="7" t="s">
        <v>3590</v>
      </c>
      <c r="J27" s="7" t="s">
        <v>3358</v>
      </c>
      <c r="K27" s="7" t="s">
        <v>3390</v>
      </c>
      <c r="L27" s="11" t="str">
        <f>HYPERLINK("http://slimages.macys.com/is/image/MCY/12800419 ")</f>
        <v xml:space="preserve">http://slimages.macys.com/is/image/MCY/12800419 </v>
      </c>
    </row>
    <row r="28" spans="1:12" ht="39.950000000000003" customHeight="1" x14ac:dyDescent="0.25">
      <c r="A28" s="6" t="s">
        <v>1549</v>
      </c>
      <c r="B28" s="7" t="s">
        <v>751</v>
      </c>
      <c r="C28" s="8">
        <v>1</v>
      </c>
      <c r="D28" s="9">
        <v>99.99</v>
      </c>
      <c r="E28" s="8" t="s">
        <v>1551</v>
      </c>
      <c r="F28" s="7" t="s">
        <v>3363</v>
      </c>
      <c r="G28" s="10" t="s">
        <v>1427</v>
      </c>
      <c r="H28" s="7" t="s">
        <v>3365</v>
      </c>
      <c r="I28" s="7" t="s">
        <v>3366</v>
      </c>
      <c r="J28" s="7" t="s">
        <v>3358</v>
      </c>
      <c r="K28" s="7" t="s">
        <v>4138</v>
      </c>
      <c r="L28" s="11" t="str">
        <f>HYPERLINK("http://slimages.macys.com/is/image/MCY/8182285 ")</f>
        <v xml:space="preserve">http://slimages.macys.com/is/image/MCY/8182285 </v>
      </c>
    </row>
    <row r="29" spans="1:12" ht="39.950000000000003" customHeight="1" x14ac:dyDescent="0.25">
      <c r="A29" s="6" t="s">
        <v>752</v>
      </c>
      <c r="B29" s="7" t="s">
        <v>753</v>
      </c>
      <c r="C29" s="8">
        <v>2</v>
      </c>
      <c r="D29" s="9">
        <v>280</v>
      </c>
      <c r="E29" s="8" t="s">
        <v>754</v>
      </c>
      <c r="F29" s="7" t="s">
        <v>3925</v>
      </c>
      <c r="G29" s="10"/>
      <c r="H29" s="7" t="s">
        <v>3365</v>
      </c>
      <c r="I29" s="7" t="s">
        <v>3855</v>
      </c>
      <c r="J29" s="7" t="s">
        <v>3813</v>
      </c>
      <c r="K29" s="7" t="s">
        <v>755</v>
      </c>
      <c r="L29" s="11" t="str">
        <f>HYPERLINK("http://images.bloomingdales.com/is/image/BLM/10463337 ")</f>
        <v xml:space="preserve">http://images.bloomingdales.com/is/image/BLM/10463337 </v>
      </c>
    </row>
    <row r="30" spans="1:12" ht="39.950000000000003" customHeight="1" x14ac:dyDescent="0.25">
      <c r="A30" s="6" t="s">
        <v>756</v>
      </c>
      <c r="B30" s="7" t="s">
        <v>757</v>
      </c>
      <c r="C30" s="8">
        <v>1</v>
      </c>
      <c r="D30" s="9">
        <v>140</v>
      </c>
      <c r="E30" s="8" t="s">
        <v>758</v>
      </c>
      <c r="F30" s="7" t="s">
        <v>3490</v>
      </c>
      <c r="G30" s="10"/>
      <c r="H30" s="7" t="s">
        <v>3365</v>
      </c>
      <c r="I30" s="7" t="s">
        <v>3855</v>
      </c>
      <c r="J30" s="7" t="s">
        <v>3813</v>
      </c>
      <c r="K30" s="7" t="s">
        <v>755</v>
      </c>
      <c r="L30" s="11" t="str">
        <f>HYPERLINK("http://images.bloomingdales.com/is/image/BLM/10463337 ")</f>
        <v xml:space="preserve">http://images.bloomingdales.com/is/image/BLM/10463337 </v>
      </c>
    </row>
    <row r="31" spans="1:12" ht="39.950000000000003" customHeight="1" x14ac:dyDescent="0.25">
      <c r="A31" s="6" t="s">
        <v>759</v>
      </c>
      <c r="B31" s="7" t="s">
        <v>760</v>
      </c>
      <c r="C31" s="8">
        <v>1</v>
      </c>
      <c r="D31" s="9">
        <v>79.989999999999995</v>
      </c>
      <c r="E31" s="8" t="s">
        <v>761</v>
      </c>
      <c r="F31" s="7" t="s">
        <v>3363</v>
      </c>
      <c r="G31" s="10"/>
      <c r="H31" s="7" t="s">
        <v>3365</v>
      </c>
      <c r="I31" s="7" t="s">
        <v>3554</v>
      </c>
      <c r="J31" s="7" t="s">
        <v>3358</v>
      </c>
      <c r="K31" s="7" t="s">
        <v>762</v>
      </c>
      <c r="L31" s="11" t="str">
        <f>HYPERLINK("http://slimages.macys.com/is/image/MCY/9353030 ")</f>
        <v xml:space="preserve">http://slimages.macys.com/is/image/MCY/9353030 </v>
      </c>
    </row>
    <row r="32" spans="1:12" ht="39.950000000000003" customHeight="1" x14ac:dyDescent="0.25">
      <c r="A32" s="6" t="s">
        <v>763</v>
      </c>
      <c r="B32" s="7" t="s">
        <v>764</v>
      </c>
      <c r="C32" s="8">
        <v>1</v>
      </c>
      <c r="D32" s="9">
        <v>49.99</v>
      </c>
      <c r="E32" s="8">
        <v>2000000040</v>
      </c>
      <c r="F32" s="7" t="s">
        <v>3477</v>
      </c>
      <c r="G32" s="10"/>
      <c r="H32" s="7" t="s">
        <v>3412</v>
      </c>
      <c r="I32" s="7" t="s">
        <v>3413</v>
      </c>
      <c r="J32" s="7"/>
      <c r="K32" s="7"/>
      <c r="L32" s="11" t="str">
        <f>HYPERLINK("http://slimages.macys.com/is/image/MCY/17814664 ")</f>
        <v xml:space="preserve">http://slimages.macys.com/is/image/MCY/17814664 </v>
      </c>
    </row>
    <row r="33" spans="1:12" ht="39.950000000000003" customHeight="1" x14ac:dyDescent="0.25">
      <c r="A33" s="6" t="s">
        <v>765</v>
      </c>
      <c r="B33" s="7" t="s">
        <v>766</v>
      </c>
      <c r="C33" s="8">
        <v>1</v>
      </c>
      <c r="D33" s="9">
        <v>44.99</v>
      </c>
      <c r="E33" s="8" t="s">
        <v>767</v>
      </c>
      <c r="F33" s="7" t="s">
        <v>3600</v>
      </c>
      <c r="G33" s="10"/>
      <c r="H33" s="7" t="s">
        <v>3492</v>
      </c>
      <c r="I33" s="7" t="s">
        <v>2954</v>
      </c>
      <c r="J33" s="7" t="s">
        <v>3358</v>
      </c>
      <c r="K33" s="7" t="s">
        <v>3484</v>
      </c>
      <c r="L33" s="11" t="str">
        <f>HYPERLINK("http://slimages.macys.com/is/image/MCY/15937063 ")</f>
        <v xml:space="preserve">http://slimages.macys.com/is/image/MCY/15937063 </v>
      </c>
    </row>
    <row r="34" spans="1:12" ht="39.950000000000003" customHeight="1" x14ac:dyDescent="0.25">
      <c r="A34" s="6" t="s">
        <v>768</v>
      </c>
      <c r="B34" s="7" t="s">
        <v>769</v>
      </c>
      <c r="C34" s="8">
        <v>1</v>
      </c>
      <c r="D34" s="9">
        <v>59.99</v>
      </c>
      <c r="E34" s="8" t="s">
        <v>770</v>
      </c>
      <c r="F34" s="7" t="s">
        <v>3498</v>
      </c>
      <c r="G34" s="10"/>
      <c r="H34" s="7" t="s">
        <v>3418</v>
      </c>
      <c r="I34" s="7" t="s">
        <v>4224</v>
      </c>
      <c r="J34" s="7" t="s">
        <v>3358</v>
      </c>
      <c r="K34" s="7" t="s">
        <v>3521</v>
      </c>
      <c r="L34" s="11" t="str">
        <f>HYPERLINK("http://slimages.macys.com/is/image/MCY/17667941 ")</f>
        <v xml:space="preserve">http://slimages.macys.com/is/image/MCY/17667941 </v>
      </c>
    </row>
    <row r="35" spans="1:12" ht="39.950000000000003" customHeight="1" x14ac:dyDescent="0.25">
      <c r="A35" s="6" t="s">
        <v>771</v>
      </c>
      <c r="B35" s="7" t="s">
        <v>772</v>
      </c>
      <c r="C35" s="8">
        <v>1</v>
      </c>
      <c r="D35" s="9">
        <v>47.99</v>
      </c>
      <c r="E35" s="8">
        <v>76342</v>
      </c>
      <c r="F35" s="7" t="s">
        <v>3363</v>
      </c>
      <c r="G35" s="10" t="s">
        <v>3460</v>
      </c>
      <c r="H35" s="7" t="s">
        <v>3388</v>
      </c>
      <c r="I35" s="7" t="s">
        <v>3389</v>
      </c>
      <c r="J35" s="7"/>
      <c r="K35" s="7"/>
      <c r="L35" s="11" t="str">
        <f>HYPERLINK("http://slimages.macys.com/is/image/MCY/18042166 ")</f>
        <v xml:space="preserve">http://slimages.macys.com/is/image/MCY/18042166 </v>
      </c>
    </row>
    <row r="36" spans="1:12" ht="39.950000000000003" customHeight="1" x14ac:dyDescent="0.25">
      <c r="A36" s="6" t="s">
        <v>773</v>
      </c>
      <c r="B36" s="7" t="s">
        <v>774</v>
      </c>
      <c r="C36" s="8">
        <v>1</v>
      </c>
      <c r="D36" s="9">
        <v>47.99</v>
      </c>
      <c r="E36" s="8" t="s">
        <v>3476</v>
      </c>
      <c r="F36" s="7" t="s">
        <v>3617</v>
      </c>
      <c r="G36" s="10" t="s">
        <v>3364</v>
      </c>
      <c r="H36" s="7" t="s">
        <v>3377</v>
      </c>
      <c r="I36" s="7" t="s">
        <v>3478</v>
      </c>
      <c r="J36" s="7" t="s">
        <v>3358</v>
      </c>
      <c r="K36" s="7" t="s">
        <v>3390</v>
      </c>
      <c r="L36" s="11" t="str">
        <f>HYPERLINK("http://slimages.macys.com/is/image/MCY/9489266 ")</f>
        <v xml:space="preserve">http://slimages.macys.com/is/image/MCY/9489266 </v>
      </c>
    </row>
    <row r="37" spans="1:12" ht="39.950000000000003" customHeight="1" x14ac:dyDescent="0.25">
      <c r="A37" s="6" t="s">
        <v>775</v>
      </c>
      <c r="B37" s="7" t="s">
        <v>776</v>
      </c>
      <c r="C37" s="8">
        <v>1</v>
      </c>
      <c r="D37" s="9">
        <v>89.99</v>
      </c>
      <c r="E37" s="8" t="s">
        <v>777</v>
      </c>
      <c r="F37" s="7" t="s">
        <v>3363</v>
      </c>
      <c r="G37" s="10"/>
      <c r="H37" s="7" t="s">
        <v>3365</v>
      </c>
      <c r="I37" s="7" t="s">
        <v>2522</v>
      </c>
      <c r="J37" s="7" t="s">
        <v>3358</v>
      </c>
      <c r="K37" s="7"/>
      <c r="L37" s="11" t="str">
        <f>HYPERLINK("http://slimages.macys.com/is/image/MCY/12873886 ")</f>
        <v xml:space="preserve">http://slimages.macys.com/is/image/MCY/12873886 </v>
      </c>
    </row>
    <row r="38" spans="1:12" ht="39.950000000000003" customHeight="1" x14ac:dyDescent="0.25">
      <c r="A38" s="6" t="s">
        <v>4135</v>
      </c>
      <c r="B38" s="7" t="s">
        <v>778</v>
      </c>
      <c r="C38" s="8">
        <v>1</v>
      </c>
      <c r="D38" s="9">
        <v>64.989999999999995</v>
      </c>
      <c r="E38" s="8" t="s">
        <v>4137</v>
      </c>
      <c r="F38" s="7" t="s">
        <v>3363</v>
      </c>
      <c r="G38" s="10"/>
      <c r="H38" s="7" t="s">
        <v>3365</v>
      </c>
      <c r="I38" s="7" t="s">
        <v>3366</v>
      </c>
      <c r="J38" s="7" t="s">
        <v>3358</v>
      </c>
      <c r="K38" s="7" t="s">
        <v>4138</v>
      </c>
      <c r="L38" s="11" t="str">
        <f>HYPERLINK("http://slimages.macys.com/is/image/MCY/8182285 ")</f>
        <v xml:space="preserve">http://slimages.macys.com/is/image/MCY/8182285 </v>
      </c>
    </row>
    <row r="39" spans="1:12" ht="39.950000000000003" customHeight="1" x14ac:dyDescent="0.25">
      <c r="A39" s="6" t="s">
        <v>779</v>
      </c>
      <c r="B39" s="7" t="s">
        <v>780</v>
      </c>
      <c r="C39" s="8">
        <v>1</v>
      </c>
      <c r="D39" s="9">
        <v>29.99</v>
      </c>
      <c r="E39" s="8" t="s">
        <v>781</v>
      </c>
      <c r="F39" s="7" t="s">
        <v>3921</v>
      </c>
      <c r="G39" s="10"/>
      <c r="H39" s="7" t="s">
        <v>3412</v>
      </c>
      <c r="I39" s="7" t="s">
        <v>3467</v>
      </c>
      <c r="J39" s="7"/>
      <c r="K39" s="7"/>
      <c r="L39" s="11" t="str">
        <f>HYPERLINK("http://slimages.macys.com/is/image/MCY/17443728 ")</f>
        <v xml:space="preserve">http://slimages.macys.com/is/image/MCY/17443728 </v>
      </c>
    </row>
    <row r="40" spans="1:12" ht="39.950000000000003" customHeight="1" x14ac:dyDescent="0.25">
      <c r="A40" s="6" t="s">
        <v>782</v>
      </c>
      <c r="B40" s="7" t="s">
        <v>783</v>
      </c>
      <c r="C40" s="8">
        <v>2</v>
      </c>
      <c r="D40" s="9">
        <v>31.98</v>
      </c>
      <c r="E40" s="8">
        <v>53453</v>
      </c>
      <c r="F40" s="7" t="s">
        <v>4173</v>
      </c>
      <c r="G40" s="10"/>
      <c r="H40" s="7" t="s">
        <v>3492</v>
      </c>
      <c r="I40" s="7" t="s">
        <v>3636</v>
      </c>
      <c r="J40" s="7" t="s">
        <v>3358</v>
      </c>
      <c r="K40" s="7" t="s">
        <v>3390</v>
      </c>
      <c r="L40" s="11" t="str">
        <f>HYPERLINK("http://slimages.macys.com/is/image/MCY/10010137 ")</f>
        <v xml:space="preserve">http://slimages.macys.com/is/image/MCY/10010137 </v>
      </c>
    </row>
    <row r="41" spans="1:12" ht="39.950000000000003" customHeight="1" x14ac:dyDescent="0.25">
      <c r="A41" s="6" t="s">
        <v>2067</v>
      </c>
      <c r="B41" s="7" t="s">
        <v>784</v>
      </c>
      <c r="C41" s="8">
        <v>2</v>
      </c>
      <c r="D41" s="9">
        <v>29.98</v>
      </c>
      <c r="E41" s="8" t="s">
        <v>2069</v>
      </c>
      <c r="F41" s="7" t="s">
        <v>3735</v>
      </c>
      <c r="G41" s="10" t="s">
        <v>3893</v>
      </c>
      <c r="H41" s="7" t="s">
        <v>3492</v>
      </c>
      <c r="I41" s="7" t="s">
        <v>4212</v>
      </c>
      <c r="J41" s="7"/>
      <c r="K41" s="7"/>
      <c r="L41" s="11" t="str">
        <f>HYPERLINK("http://slimages.macys.com/is/image/MCY/17620637 ")</f>
        <v xml:space="preserve">http://slimages.macys.com/is/image/MCY/17620637 </v>
      </c>
    </row>
    <row r="42" spans="1:12" ht="39.950000000000003" customHeight="1" x14ac:dyDescent="0.25">
      <c r="A42" s="6" t="s">
        <v>3540</v>
      </c>
      <c r="B42" s="7" t="s">
        <v>3541</v>
      </c>
      <c r="C42" s="8">
        <v>1</v>
      </c>
      <c r="D42" s="9">
        <v>40</v>
      </c>
      <c r="E42" s="8"/>
      <c r="F42" s="7" t="s">
        <v>3542</v>
      </c>
      <c r="G42" s="10" t="s">
        <v>3504</v>
      </c>
      <c r="H42" s="7" t="s">
        <v>3543</v>
      </c>
      <c r="I42" s="7" t="s">
        <v>3544</v>
      </c>
      <c r="J42" s="7"/>
      <c r="K42" s="7"/>
      <c r="L42" s="11"/>
    </row>
    <row r="43" spans="1:12" ht="39.950000000000003" customHeight="1" x14ac:dyDescent="0.25">
      <c r="A43" s="6"/>
      <c r="B43" s="7"/>
      <c r="C43" s="8"/>
      <c r="D43" s="9"/>
      <c r="E43" s="8"/>
      <c r="F43" s="7"/>
      <c r="G43" s="10"/>
      <c r="H43" s="7"/>
      <c r="I43" s="7"/>
      <c r="J43" s="7"/>
      <c r="K43" s="7"/>
      <c r="L43" s="11"/>
    </row>
    <row r="44" spans="1:12" ht="39.950000000000003" customHeight="1" x14ac:dyDescent="0.25">
      <c r="A44" s="6"/>
      <c r="B44" s="7"/>
      <c r="C44" s="8"/>
      <c r="D44" s="9"/>
      <c r="E44" s="8"/>
      <c r="F44" s="7"/>
      <c r="G44" s="10"/>
      <c r="H44" s="7"/>
      <c r="I44" s="7"/>
      <c r="J44" s="7"/>
      <c r="K44" s="7"/>
      <c r="L44" s="11"/>
    </row>
    <row r="45" spans="1:12" ht="39.950000000000003" customHeight="1" x14ac:dyDescent="0.25">
      <c r="A45" s="6"/>
      <c r="B45" s="7"/>
      <c r="C45" s="8"/>
      <c r="D45" s="9"/>
      <c r="E45" s="8"/>
      <c r="F45" s="7"/>
      <c r="G45" s="10"/>
      <c r="H45" s="7"/>
      <c r="I45" s="7"/>
      <c r="J45" s="7"/>
      <c r="K45" s="7"/>
      <c r="L45" s="11"/>
    </row>
    <row r="46" spans="1:12" ht="39.950000000000003" customHeight="1" x14ac:dyDescent="0.25">
      <c r="A46" s="6"/>
      <c r="B46" s="7"/>
      <c r="C46" s="8"/>
      <c r="D46" s="9"/>
      <c r="E46" s="8"/>
      <c r="F46" s="7"/>
      <c r="G46" s="10"/>
      <c r="H46" s="7"/>
      <c r="I46" s="7"/>
      <c r="J46" s="7"/>
      <c r="K46" s="7"/>
      <c r="L46" s="11"/>
    </row>
    <row r="47" spans="1:12" ht="39.950000000000003" customHeight="1" x14ac:dyDescent="0.25">
      <c r="A47" s="6"/>
      <c r="B47" s="7"/>
      <c r="C47" s="8"/>
      <c r="D47" s="9"/>
      <c r="E47" s="8"/>
      <c r="F47" s="7"/>
      <c r="G47" s="10"/>
      <c r="H47" s="7"/>
      <c r="I47" s="7"/>
      <c r="J47" s="7"/>
      <c r="K47" s="7"/>
      <c r="L47" s="11"/>
    </row>
    <row r="48" spans="1:12" ht="39.950000000000003" customHeight="1" x14ac:dyDescent="0.25">
      <c r="A48" s="6"/>
      <c r="B48" s="7"/>
      <c r="C48" s="8"/>
      <c r="D48" s="9"/>
      <c r="E48" s="8"/>
      <c r="F48" s="7"/>
      <c r="G48" s="10"/>
      <c r="H48" s="7"/>
      <c r="I48" s="7"/>
      <c r="J48" s="7"/>
      <c r="K48" s="7"/>
      <c r="L48" s="11"/>
    </row>
    <row r="49" spans="1:12" ht="39.950000000000003" customHeight="1" x14ac:dyDescent="0.25">
      <c r="A49" s="6"/>
      <c r="B49" s="7"/>
      <c r="C49" s="8"/>
      <c r="D49" s="9"/>
      <c r="E49" s="8"/>
      <c r="F49" s="7"/>
      <c r="G49" s="10"/>
      <c r="H49" s="7"/>
      <c r="I49" s="7"/>
      <c r="J49" s="7"/>
      <c r="K49" s="7"/>
      <c r="L49" s="11"/>
    </row>
    <row r="50" spans="1:12" ht="39.950000000000003" customHeight="1" x14ac:dyDescent="0.25">
      <c r="A50" s="6"/>
      <c r="B50" s="7"/>
      <c r="C50" s="8"/>
      <c r="D50" s="9"/>
      <c r="E50" s="8"/>
      <c r="F50" s="7"/>
      <c r="G50" s="10"/>
      <c r="H50" s="7"/>
      <c r="I50" s="7"/>
      <c r="J50" s="7"/>
      <c r="K50" s="7"/>
      <c r="L50" s="11"/>
    </row>
    <row r="51" spans="1:12" ht="39.950000000000003" customHeight="1" x14ac:dyDescent="0.25">
      <c r="A51" s="6"/>
      <c r="B51" s="7"/>
      <c r="C51" s="8"/>
      <c r="D51" s="9"/>
      <c r="E51" s="8"/>
      <c r="F51" s="7"/>
      <c r="G51" s="10"/>
      <c r="H51" s="7"/>
      <c r="I51" s="7"/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  <row r="57" spans="1:12" ht="39.950000000000003" customHeight="1" x14ac:dyDescent="0.25">
      <c r="A57" s="6"/>
      <c r="B57" s="7"/>
      <c r="C57" s="8"/>
      <c r="D57" s="9"/>
      <c r="E57" s="8"/>
      <c r="F57" s="7"/>
      <c r="G57" s="10"/>
      <c r="H57" s="7"/>
      <c r="I57" s="7"/>
      <c r="J57" s="7"/>
      <c r="K57" s="7"/>
      <c r="L57" s="11"/>
    </row>
    <row r="58" spans="1:12" ht="39.950000000000003" customHeight="1" x14ac:dyDescent="0.25">
      <c r="A58" s="6"/>
      <c r="B58" s="7"/>
      <c r="C58" s="8"/>
      <c r="D58" s="9"/>
      <c r="E58" s="8"/>
      <c r="F58" s="7"/>
      <c r="G58" s="10"/>
      <c r="H58" s="7"/>
      <c r="I58" s="7"/>
      <c r="J58" s="7"/>
      <c r="K58" s="7"/>
      <c r="L58" s="11"/>
    </row>
    <row r="59" spans="1:12" ht="39.950000000000003" customHeight="1" x14ac:dyDescent="0.25">
      <c r="A59" s="6"/>
      <c r="B59" s="7"/>
      <c r="C59" s="8"/>
      <c r="D59" s="9"/>
      <c r="E59" s="8"/>
      <c r="F59" s="7"/>
      <c r="G59" s="10"/>
      <c r="H59" s="7"/>
      <c r="I59" s="7"/>
      <c r="J59" s="7"/>
      <c r="K59" s="7"/>
      <c r="L59" s="11"/>
    </row>
    <row r="60" spans="1:12" ht="39.950000000000003" customHeight="1" x14ac:dyDescent="0.25">
      <c r="A60" s="6"/>
      <c r="B60" s="7"/>
      <c r="C60" s="8"/>
      <c r="D60" s="9"/>
      <c r="E60" s="8"/>
      <c r="F60" s="7"/>
      <c r="G60" s="10"/>
      <c r="H60" s="7"/>
      <c r="I60" s="7"/>
      <c r="J60" s="7"/>
      <c r="K60" s="7"/>
      <c r="L60" s="11"/>
    </row>
    <row r="61" spans="1:12" ht="39.950000000000003" customHeight="1" x14ac:dyDescent="0.25">
      <c r="A61" s="6"/>
      <c r="B61" s="7"/>
      <c r="C61" s="8"/>
      <c r="D61" s="9"/>
      <c r="E61" s="8"/>
      <c r="F61" s="7"/>
      <c r="G61" s="10"/>
      <c r="H61" s="7"/>
      <c r="I61" s="7"/>
      <c r="J61" s="7"/>
      <c r="K61" s="7"/>
      <c r="L61" s="11"/>
    </row>
    <row r="62" spans="1:12" ht="39.950000000000003" customHeight="1" x14ac:dyDescent="0.25">
      <c r="A62" s="6"/>
      <c r="B62" s="7"/>
      <c r="C62" s="8"/>
      <c r="D62" s="9"/>
      <c r="E62" s="8"/>
      <c r="F62" s="7"/>
      <c r="G62" s="10"/>
      <c r="H62" s="7"/>
      <c r="I62" s="7"/>
      <c r="J62" s="7"/>
      <c r="K62" s="7"/>
      <c r="L62" s="11"/>
    </row>
    <row r="63" spans="1:12" ht="39.950000000000003" customHeight="1" x14ac:dyDescent="0.25">
      <c r="A63" s="6"/>
      <c r="B63" s="7"/>
      <c r="C63" s="8"/>
      <c r="D63" s="9"/>
      <c r="E63" s="8"/>
      <c r="F63" s="7"/>
      <c r="G63" s="10"/>
      <c r="H63" s="7"/>
      <c r="I63" s="7"/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3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785</v>
      </c>
      <c r="B2" s="7" t="s">
        <v>786</v>
      </c>
      <c r="C2" s="8">
        <v>1</v>
      </c>
      <c r="D2" s="9">
        <v>339.99</v>
      </c>
      <c r="E2" s="8" t="s">
        <v>787</v>
      </c>
      <c r="F2" s="7" t="s">
        <v>3363</v>
      </c>
      <c r="G2" s="10" t="s">
        <v>3364</v>
      </c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HYPERLINK("http://slimages.macys.com/is/image/MCY/3969345 ")</f>
        <v xml:space="preserve">http://slimages.macys.com/is/image/MCY/3969345 </v>
      </c>
    </row>
    <row r="3" spans="1:12" ht="39.950000000000003" customHeight="1" x14ac:dyDescent="0.25">
      <c r="A3" s="6" t="s">
        <v>788</v>
      </c>
      <c r="B3" s="7" t="s">
        <v>789</v>
      </c>
      <c r="C3" s="8">
        <v>1</v>
      </c>
      <c r="D3" s="9">
        <v>319.99</v>
      </c>
      <c r="E3" s="8" t="s">
        <v>790</v>
      </c>
      <c r="F3" s="7" t="s">
        <v>3355</v>
      </c>
      <c r="G3" s="10"/>
      <c r="H3" s="7" t="s">
        <v>3876</v>
      </c>
      <c r="I3" s="7" t="s">
        <v>791</v>
      </c>
      <c r="J3" s="7" t="s">
        <v>3358</v>
      </c>
      <c r="K3" s="7" t="s">
        <v>3484</v>
      </c>
      <c r="L3" s="11" t="str">
        <f>HYPERLINK("http://slimages.macys.com/is/image/MCY/13314676 ")</f>
        <v xml:space="preserve">http://slimages.macys.com/is/image/MCY/13314676 </v>
      </c>
    </row>
    <row r="4" spans="1:12" ht="39.950000000000003" customHeight="1" x14ac:dyDescent="0.25">
      <c r="A4" s="6" t="s">
        <v>792</v>
      </c>
      <c r="B4" s="7" t="s">
        <v>793</v>
      </c>
      <c r="C4" s="8">
        <v>1</v>
      </c>
      <c r="D4" s="9">
        <v>256.99</v>
      </c>
      <c r="E4" s="8" t="s">
        <v>794</v>
      </c>
      <c r="F4" s="7" t="s">
        <v>3363</v>
      </c>
      <c r="G4" s="10"/>
      <c r="H4" s="7" t="s">
        <v>3422</v>
      </c>
      <c r="I4" s="7" t="s">
        <v>3664</v>
      </c>
      <c r="J4" s="7" t="s">
        <v>3692</v>
      </c>
      <c r="K4" s="7" t="s">
        <v>2621</v>
      </c>
      <c r="L4" s="11" t="str">
        <f>HYPERLINK("http://slimages.macys.com/is/image/MCY/11798306 ")</f>
        <v xml:space="preserve">http://slimages.macys.com/is/image/MCY/11798306 </v>
      </c>
    </row>
    <row r="5" spans="1:12" ht="39.950000000000003" customHeight="1" x14ac:dyDescent="0.25">
      <c r="A5" s="6" t="s">
        <v>795</v>
      </c>
      <c r="B5" s="7" t="s">
        <v>796</v>
      </c>
      <c r="C5" s="8">
        <v>1</v>
      </c>
      <c r="D5" s="9">
        <v>314.99</v>
      </c>
      <c r="E5" s="8" t="s">
        <v>797</v>
      </c>
      <c r="F5" s="7" t="s">
        <v>3363</v>
      </c>
      <c r="G5" s="10" t="s">
        <v>3364</v>
      </c>
      <c r="H5" s="7" t="s">
        <v>3377</v>
      </c>
      <c r="I5" s="7" t="s">
        <v>3378</v>
      </c>
      <c r="J5" s="7" t="s">
        <v>3379</v>
      </c>
      <c r="K5" s="7" t="s">
        <v>3380</v>
      </c>
      <c r="L5" s="11" t="str">
        <f>HYPERLINK("http://slimages.macys.com/is/image/MCY/3974561 ")</f>
        <v xml:space="preserve">http://slimages.macys.com/is/image/MCY/3974561 </v>
      </c>
    </row>
    <row r="6" spans="1:12" ht="39.950000000000003" customHeight="1" x14ac:dyDescent="0.25">
      <c r="A6" s="6" t="s">
        <v>798</v>
      </c>
      <c r="B6" s="7" t="s">
        <v>799</v>
      </c>
      <c r="C6" s="8">
        <v>1</v>
      </c>
      <c r="D6" s="9">
        <v>249.99</v>
      </c>
      <c r="E6" s="8" t="s">
        <v>800</v>
      </c>
      <c r="F6" s="7" t="s">
        <v>3363</v>
      </c>
      <c r="G6" s="10"/>
      <c r="H6" s="7" t="s">
        <v>3365</v>
      </c>
      <c r="I6" s="7" t="s">
        <v>3554</v>
      </c>
      <c r="J6" s="7" t="s">
        <v>3358</v>
      </c>
      <c r="K6" s="7" t="s">
        <v>801</v>
      </c>
      <c r="L6" s="11" t="str">
        <f>HYPERLINK("http://slimages.macys.com/is/image/MCY/16381596 ")</f>
        <v xml:space="preserve">http://slimages.macys.com/is/image/MCY/16381596 </v>
      </c>
    </row>
    <row r="7" spans="1:12" ht="39.950000000000003" customHeight="1" x14ac:dyDescent="0.25">
      <c r="A7" s="6" t="s">
        <v>802</v>
      </c>
      <c r="B7" s="7" t="s">
        <v>803</v>
      </c>
      <c r="C7" s="8">
        <v>1</v>
      </c>
      <c r="D7" s="9">
        <v>179.99</v>
      </c>
      <c r="E7" s="8">
        <v>82242</v>
      </c>
      <c r="F7" s="7" t="s">
        <v>3355</v>
      </c>
      <c r="G7" s="10"/>
      <c r="H7" s="7" t="s">
        <v>3412</v>
      </c>
      <c r="I7" s="7" t="s">
        <v>3595</v>
      </c>
      <c r="J7" s="7"/>
      <c r="K7" s="7"/>
      <c r="L7" s="11" t="str">
        <f>HYPERLINK("http://slimages.macys.com/is/image/MCY/17257918 ")</f>
        <v xml:space="preserve">http://slimages.macys.com/is/image/MCY/17257918 </v>
      </c>
    </row>
    <row r="8" spans="1:12" ht="39.950000000000003" customHeight="1" x14ac:dyDescent="0.25">
      <c r="A8" s="6" t="s">
        <v>1779</v>
      </c>
      <c r="B8" s="7" t="s">
        <v>1780</v>
      </c>
      <c r="C8" s="8">
        <v>1</v>
      </c>
      <c r="D8" s="9">
        <v>199.99</v>
      </c>
      <c r="E8" s="8" t="s">
        <v>1781</v>
      </c>
      <c r="F8" s="7" t="s">
        <v>3925</v>
      </c>
      <c r="G8" s="10"/>
      <c r="H8" s="7" t="s">
        <v>3365</v>
      </c>
      <c r="I8" s="7" t="s">
        <v>2522</v>
      </c>
      <c r="J8" s="7" t="s">
        <v>3751</v>
      </c>
      <c r="K8" s="7" t="s">
        <v>1782</v>
      </c>
      <c r="L8" s="11" t="str">
        <f>HYPERLINK("http://slimages.macys.com/is/image/MCY/12354489 ")</f>
        <v xml:space="preserve">http://slimages.macys.com/is/image/MCY/12354489 </v>
      </c>
    </row>
    <row r="9" spans="1:12" ht="39.950000000000003" customHeight="1" x14ac:dyDescent="0.25">
      <c r="A9" s="6" t="s">
        <v>804</v>
      </c>
      <c r="B9" s="7" t="s">
        <v>805</v>
      </c>
      <c r="C9" s="8">
        <v>1</v>
      </c>
      <c r="D9" s="9">
        <v>249.99</v>
      </c>
      <c r="E9" s="8" t="s">
        <v>806</v>
      </c>
      <c r="F9" s="7" t="s">
        <v>3925</v>
      </c>
      <c r="G9" s="10"/>
      <c r="H9" s="7" t="s">
        <v>3365</v>
      </c>
      <c r="I9" s="7" t="s">
        <v>2522</v>
      </c>
      <c r="J9" s="7" t="s">
        <v>3751</v>
      </c>
      <c r="K9" s="7" t="s">
        <v>807</v>
      </c>
      <c r="L9" s="11" t="str">
        <f>HYPERLINK("http://slimages.macys.com/is/image/MCY/12354497 ")</f>
        <v xml:space="preserve">http://slimages.macys.com/is/image/MCY/12354497 </v>
      </c>
    </row>
    <row r="10" spans="1:12" ht="39.950000000000003" customHeight="1" x14ac:dyDescent="0.25">
      <c r="A10" s="6" t="s">
        <v>808</v>
      </c>
      <c r="B10" s="7" t="s">
        <v>809</v>
      </c>
      <c r="C10" s="8">
        <v>1</v>
      </c>
      <c r="D10" s="9">
        <v>174.99</v>
      </c>
      <c r="E10" s="8" t="s">
        <v>810</v>
      </c>
      <c r="F10" s="7" t="s">
        <v>3600</v>
      </c>
      <c r="G10" s="10"/>
      <c r="H10" s="7" t="s">
        <v>3492</v>
      </c>
      <c r="I10" s="7" t="s">
        <v>3669</v>
      </c>
      <c r="J10" s="7" t="s">
        <v>3358</v>
      </c>
      <c r="K10" s="7" t="s">
        <v>3390</v>
      </c>
      <c r="L10" s="11" t="str">
        <f>HYPERLINK("http://slimages.macys.com/is/image/MCY/15422724 ")</f>
        <v xml:space="preserve">http://slimages.macys.com/is/image/MCY/15422724 </v>
      </c>
    </row>
    <row r="11" spans="1:12" ht="39.950000000000003" customHeight="1" x14ac:dyDescent="0.25">
      <c r="A11" s="6" t="s">
        <v>811</v>
      </c>
      <c r="B11" s="7" t="s">
        <v>812</v>
      </c>
      <c r="C11" s="8">
        <v>1</v>
      </c>
      <c r="D11" s="9">
        <v>179.99</v>
      </c>
      <c r="E11" s="8" t="s">
        <v>813</v>
      </c>
      <c r="F11" s="7" t="s">
        <v>3701</v>
      </c>
      <c r="G11" s="10"/>
      <c r="H11" s="7" t="s">
        <v>3365</v>
      </c>
      <c r="I11" s="7" t="s">
        <v>3385</v>
      </c>
      <c r="J11" s="7" t="s">
        <v>3358</v>
      </c>
      <c r="K11" s="7" t="s">
        <v>4002</v>
      </c>
      <c r="L11" s="11" t="str">
        <f>HYPERLINK("http://slimages.macys.com/is/image/MCY/15495892 ")</f>
        <v xml:space="preserve">http://slimages.macys.com/is/image/MCY/15495892 </v>
      </c>
    </row>
    <row r="12" spans="1:12" ht="39.950000000000003" customHeight="1" x14ac:dyDescent="0.25">
      <c r="A12" s="6" t="s">
        <v>814</v>
      </c>
      <c r="B12" s="7" t="s">
        <v>815</v>
      </c>
      <c r="C12" s="8">
        <v>1</v>
      </c>
      <c r="D12" s="9">
        <v>199.99</v>
      </c>
      <c r="E12" s="8" t="s">
        <v>816</v>
      </c>
      <c r="F12" s="7" t="s">
        <v>3925</v>
      </c>
      <c r="G12" s="10"/>
      <c r="H12" s="7" t="s">
        <v>3365</v>
      </c>
      <c r="I12" s="7" t="s">
        <v>2522</v>
      </c>
      <c r="J12" s="7" t="s">
        <v>3358</v>
      </c>
      <c r="K12" s="7" t="s">
        <v>817</v>
      </c>
      <c r="L12" s="11" t="str">
        <f>HYPERLINK("http://slimages.macys.com/is/image/MCY/12354497 ")</f>
        <v xml:space="preserve">http://slimages.macys.com/is/image/MCY/12354497 </v>
      </c>
    </row>
    <row r="13" spans="1:12" ht="39.950000000000003" customHeight="1" x14ac:dyDescent="0.25">
      <c r="A13" s="6" t="s">
        <v>818</v>
      </c>
      <c r="B13" s="7" t="s">
        <v>819</v>
      </c>
      <c r="C13" s="8">
        <v>1</v>
      </c>
      <c r="D13" s="9">
        <v>132.99</v>
      </c>
      <c r="E13" s="8" t="s">
        <v>820</v>
      </c>
      <c r="F13" s="7"/>
      <c r="G13" s="10" t="s">
        <v>3504</v>
      </c>
      <c r="H13" s="7" t="s">
        <v>3412</v>
      </c>
      <c r="I13" s="7" t="s">
        <v>821</v>
      </c>
      <c r="J13" s="7" t="s">
        <v>3358</v>
      </c>
      <c r="K13" s="7" t="s">
        <v>3506</v>
      </c>
      <c r="L13" s="11" t="str">
        <f>HYPERLINK("http://slimages.macys.com/is/image/MCY/11504712 ")</f>
        <v xml:space="preserve">http://slimages.macys.com/is/image/MCY/11504712 </v>
      </c>
    </row>
    <row r="14" spans="1:12" ht="39.950000000000003" customHeight="1" x14ac:dyDescent="0.25">
      <c r="A14" s="6" t="s">
        <v>822</v>
      </c>
      <c r="B14" s="7" t="s">
        <v>812</v>
      </c>
      <c r="C14" s="8">
        <v>1</v>
      </c>
      <c r="D14" s="9">
        <v>179.99</v>
      </c>
      <c r="E14" s="8" t="s">
        <v>823</v>
      </c>
      <c r="F14" s="7" t="s">
        <v>3701</v>
      </c>
      <c r="G14" s="10"/>
      <c r="H14" s="7" t="s">
        <v>3365</v>
      </c>
      <c r="I14" s="7" t="s">
        <v>3385</v>
      </c>
      <c r="J14" s="7" t="s">
        <v>3358</v>
      </c>
      <c r="K14" s="7" t="s">
        <v>3521</v>
      </c>
      <c r="L14" s="11" t="str">
        <f>HYPERLINK("http://slimages.macys.com/is/image/MCY/15495844 ")</f>
        <v xml:space="preserve">http://slimages.macys.com/is/image/MCY/15495844 </v>
      </c>
    </row>
    <row r="15" spans="1:12" ht="39.950000000000003" customHeight="1" x14ac:dyDescent="0.25">
      <c r="A15" s="6" t="s">
        <v>824</v>
      </c>
      <c r="B15" s="7" t="s">
        <v>3560</v>
      </c>
      <c r="C15" s="8">
        <v>2</v>
      </c>
      <c r="D15" s="9">
        <v>399.98</v>
      </c>
      <c r="E15" s="8" t="s">
        <v>825</v>
      </c>
      <c r="F15" s="7" t="s">
        <v>3363</v>
      </c>
      <c r="G15" s="10"/>
      <c r="H15" s="7" t="s">
        <v>3365</v>
      </c>
      <c r="I15" s="7" t="s">
        <v>3366</v>
      </c>
      <c r="J15" s="7" t="s">
        <v>3358</v>
      </c>
      <c r="K15" s="7" t="s">
        <v>3521</v>
      </c>
      <c r="L15" s="11" t="str">
        <f>HYPERLINK("http://slimages.macys.com/is/image/MCY/11953123 ")</f>
        <v xml:space="preserve">http://slimages.macys.com/is/image/MCY/11953123 </v>
      </c>
    </row>
    <row r="16" spans="1:12" ht="39.950000000000003" customHeight="1" x14ac:dyDescent="0.25">
      <c r="A16" s="6" t="s">
        <v>826</v>
      </c>
      <c r="B16" s="7" t="s">
        <v>827</v>
      </c>
      <c r="C16" s="8">
        <v>1</v>
      </c>
      <c r="D16" s="9">
        <v>169.99</v>
      </c>
      <c r="E16" s="8" t="s">
        <v>828</v>
      </c>
      <c r="F16" s="7" t="s">
        <v>3525</v>
      </c>
      <c r="G16" s="10"/>
      <c r="H16" s="7" t="s">
        <v>3658</v>
      </c>
      <c r="I16" s="7" t="s">
        <v>3659</v>
      </c>
      <c r="J16" s="7" t="s">
        <v>3358</v>
      </c>
      <c r="K16" s="7" t="s">
        <v>829</v>
      </c>
      <c r="L16" s="11" t="str">
        <f>HYPERLINK("http://slimages.macys.com/is/image/MCY/10264817 ")</f>
        <v xml:space="preserve">http://slimages.macys.com/is/image/MCY/10264817 </v>
      </c>
    </row>
    <row r="17" spans="1:12" ht="39.950000000000003" customHeight="1" x14ac:dyDescent="0.25">
      <c r="A17" s="6" t="s">
        <v>3592</v>
      </c>
      <c r="B17" s="7" t="s">
        <v>3593</v>
      </c>
      <c r="C17" s="8">
        <v>1</v>
      </c>
      <c r="D17" s="9">
        <v>175.99</v>
      </c>
      <c r="E17" s="8">
        <v>79345</v>
      </c>
      <c r="F17" s="7" t="s">
        <v>3594</v>
      </c>
      <c r="G17" s="10"/>
      <c r="H17" s="7" t="s">
        <v>3412</v>
      </c>
      <c r="I17" s="7" t="s">
        <v>3595</v>
      </c>
      <c r="J17" s="7" t="s">
        <v>3358</v>
      </c>
      <c r="K17" s="7" t="s">
        <v>3596</v>
      </c>
      <c r="L17" s="11" t="str">
        <f>HYPERLINK("http://slimages.macys.com/is/image/MCY/11942490 ")</f>
        <v xml:space="preserve">http://slimages.macys.com/is/image/MCY/11942490 </v>
      </c>
    </row>
    <row r="18" spans="1:12" ht="39.950000000000003" customHeight="1" x14ac:dyDescent="0.25">
      <c r="A18" s="6" t="s">
        <v>830</v>
      </c>
      <c r="B18" s="7" t="s">
        <v>831</v>
      </c>
      <c r="C18" s="8">
        <v>1</v>
      </c>
      <c r="D18" s="9">
        <v>139.99</v>
      </c>
      <c r="E18" s="8" t="s">
        <v>832</v>
      </c>
      <c r="F18" s="7" t="s">
        <v>3363</v>
      </c>
      <c r="G18" s="10"/>
      <c r="H18" s="7" t="s">
        <v>3601</v>
      </c>
      <c r="I18" s="7" t="s">
        <v>3602</v>
      </c>
      <c r="J18" s="7" t="s">
        <v>3358</v>
      </c>
      <c r="K18" s="7" t="s">
        <v>3582</v>
      </c>
      <c r="L18" s="11" t="str">
        <f>HYPERLINK("http://slimages.macys.com/is/image/MCY/11607139 ")</f>
        <v xml:space="preserve">http://slimages.macys.com/is/image/MCY/11607139 </v>
      </c>
    </row>
    <row r="19" spans="1:12" ht="39.950000000000003" customHeight="1" x14ac:dyDescent="0.25">
      <c r="A19" s="6" t="s">
        <v>2294</v>
      </c>
      <c r="B19" s="7" t="s">
        <v>2295</v>
      </c>
      <c r="C19" s="8">
        <v>1</v>
      </c>
      <c r="D19" s="9">
        <v>109.99</v>
      </c>
      <c r="E19" s="8" t="s">
        <v>2296</v>
      </c>
      <c r="F19" s="7" t="s">
        <v>3384</v>
      </c>
      <c r="G19" s="10"/>
      <c r="H19" s="7" t="s">
        <v>3412</v>
      </c>
      <c r="I19" s="7" t="s">
        <v>3436</v>
      </c>
      <c r="J19" s="7" t="s">
        <v>3358</v>
      </c>
      <c r="K19" s="7" t="s">
        <v>3390</v>
      </c>
      <c r="L19" s="11" t="str">
        <f>HYPERLINK("http://slimages.macys.com/is/image/MCY/15602452 ")</f>
        <v xml:space="preserve">http://slimages.macys.com/is/image/MCY/15602452 </v>
      </c>
    </row>
    <row r="20" spans="1:12" ht="39.950000000000003" customHeight="1" x14ac:dyDescent="0.25">
      <c r="A20" s="6" t="s">
        <v>833</v>
      </c>
      <c r="B20" s="7" t="s">
        <v>834</v>
      </c>
      <c r="C20" s="8">
        <v>1</v>
      </c>
      <c r="D20" s="9">
        <v>99.99</v>
      </c>
      <c r="E20" s="8" t="s">
        <v>835</v>
      </c>
      <c r="F20" s="7" t="s">
        <v>3363</v>
      </c>
      <c r="G20" s="10"/>
      <c r="H20" s="7" t="s">
        <v>3601</v>
      </c>
      <c r="I20" s="7" t="s">
        <v>3602</v>
      </c>
      <c r="J20" s="7" t="s">
        <v>3358</v>
      </c>
      <c r="K20" s="7"/>
      <c r="L20" s="11" t="str">
        <f>HYPERLINK("http://slimages.macys.com/is/image/MCY/11534834 ")</f>
        <v xml:space="preserve">http://slimages.macys.com/is/image/MCY/11534834 </v>
      </c>
    </row>
    <row r="21" spans="1:12" ht="39.950000000000003" customHeight="1" x14ac:dyDescent="0.25">
      <c r="A21" s="6" t="s">
        <v>836</v>
      </c>
      <c r="B21" s="7" t="s">
        <v>1513</v>
      </c>
      <c r="C21" s="8">
        <v>1</v>
      </c>
      <c r="D21" s="9">
        <v>129.99</v>
      </c>
      <c r="E21" s="8" t="s">
        <v>837</v>
      </c>
      <c r="F21" s="7" t="s">
        <v>3481</v>
      </c>
      <c r="G21" s="10"/>
      <c r="H21" s="7" t="s">
        <v>3601</v>
      </c>
      <c r="I21" s="7" t="s">
        <v>3602</v>
      </c>
      <c r="J21" s="7" t="s">
        <v>3358</v>
      </c>
      <c r="K21" s="7" t="s">
        <v>3582</v>
      </c>
      <c r="L21" s="11" t="str">
        <f>HYPERLINK("http://slimages.macys.com/is/image/MCY/11607139 ")</f>
        <v xml:space="preserve">http://slimages.macys.com/is/image/MCY/11607139 </v>
      </c>
    </row>
    <row r="22" spans="1:12" ht="39.950000000000003" customHeight="1" x14ac:dyDescent="0.25">
      <c r="A22" s="6" t="s">
        <v>1846</v>
      </c>
      <c r="B22" s="7" t="s">
        <v>1847</v>
      </c>
      <c r="C22" s="8">
        <v>1</v>
      </c>
      <c r="D22" s="9">
        <v>84.99</v>
      </c>
      <c r="E22" s="8" t="s">
        <v>1848</v>
      </c>
      <c r="F22" s="7" t="s">
        <v>3363</v>
      </c>
      <c r="G22" s="10"/>
      <c r="H22" s="7" t="s">
        <v>3471</v>
      </c>
      <c r="I22" s="7" t="s">
        <v>3378</v>
      </c>
      <c r="J22" s="7" t="s">
        <v>3379</v>
      </c>
      <c r="K22" s="7" t="s">
        <v>4074</v>
      </c>
      <c r="L22" s="11" t="str">
        <f>HYPERLINK("http://slimages.macys.com/is/image/MCY/8589816 ")</f>
        <v xml:space="preserve">http://slimages.macys.com/is/image/MCY/8589816 </v>
      </c>
    </row>
    <row r="23" spans="1:12" ht="39.950000000000003" customHeight="1" x14ac:dyDescent="0.25">
      <c r="A23" s="6" t="s">
        <v>838</v>
      </c>
      <c r="B23" s="7" t="s">
        <v>839</v>
      </c>
      <c r="C23" s="8">
        <v>1</v>
      </c>
      <c r="D23" s="9">
        <v>59.99</v>
      </c>
      <c r="E23" s="8" t="s">
        <v>840</v>
      </c>
      <c r="F23" s="7" t="s">
        <v>3363</v>
      </c>
      <c r="G23" s="10"/>
      <c r="H23" s="7" t="s">
        <v>3372</v>
      </c>
      <c r="I23" s="7" t="s">
        <v>1542</v>
      </c>
      <c r="J23" s="7" t="s">
        <v>3358</v>
      </c>
      <c r="K23" s="7" t="s">
        <v>1543</v>
      </c>
      <c r="L23" s="11" t="str">
        <f>HYPERLINK("http://slimages.macys.com/is/image/MCY/11471754 ")</f>
        <v xml:space="preserve">http://slimages.macys.com/is/image/MCY/11471754 </v>
      </c>
    </row>
    <row r="24" spans="1:12" ht="39.950000000000003" customHeight="1" x14ac:dyDescent="0.25">
      <c r="A24" s="6" t="s">
        <v>841</v>
      </c>
      <c r="B24" s="7" t="s">
        <v>842</v>
      </c>
      <c r="C24" s="8">
        <v>1</v>
      </c>
      <c r="D24" s="9">
        <v>139.99</v>
      </c>
      <c r="E24" s="8" t="s">
        <v>843</v>
      </c>
      <c r="F24" s="7" t="s">
        <v>3371</v>
      </c>
      <c r="G24" s="10" t="s">
        <v>844</v>
      </c>
      <c r="H24" s="7" t="s">
        <v>3365</v>
      </c>
      <c r="I24" s="7" t="s">
        <v>3366</v>
      </c>
      <c r="J24" s="7" t="s">
        <v>3358</v>
      </c>
      <c r="K24" s="7" t="s">
        <v>4138</v>
      </c>
      <c r="L24" s="11" t="str">
        <f>HYPERLINK("http://slimages.macys.com/is/image/MCY/8182285 ")</f>
        <v xml:space="preserve">http://slimages.macys.com/is/image/MCY/8182285 </v>
      </c>
    </row>
    <row r="25" spans="1:12" ht="39.950000000000003" customHeight="1" x14ac:dyDescent="0.25">
      <c r="A25" s="6" t="s">
        <v>845</v>
      </c>
      <c r="B25" s="7" t="s">
        <v>846</v>
      </c>
      <c r="C25" s="8">
        <v>1</v>
      </c>
      <c r="D25" s="9">
        <v>49.99</v>
      </c>
      <c r="E25" s="8" t="s">
        <v>847</v>
      </c>
      <c r="F25" s="7" t="s">
        <v>3937</v>
      </c>
      <c r="G25" s="10"/>
      <c r="H25" s="7" t="s">
        <v>3526</v>
      </c>
      <c r="I25" s="7" t="s">
        <v>3900</v>
      </c>
      <c r="J25" s="7" t="s">
        <v>3358</v>
      </c>
      <c r="K25" s="7" t="s">
        <v>3901</v>
      </c>
      <c r="L25" s="11" t="str">
        <f>HYPERLINK("http://slimages.macys.com/is/image/MCY/12901993 ")</f>
        <v xml:space="preserve">http://slimages.macys.com/is/image/MCY/12901993 </v>
      </c>
    </row>
    <row r="26" spans="1:12" ht="39.950000000000003" customHeight="1" x14ac:dyDescent="0.25">
      <c r="A26" s="6" t="s">
        <v>848</v>
      </c>
      <c r="B26" s="7" t="s">
        <v>849</v>
      </c>
      <c r="C26" s="8">
        <v>1</v>
      </c>
      <c r="D26" s="9">
        <v>59.99</v>
      </c>
      <c r="E26" s="8">
        <v>6112</v>
      </c>
      <c r="F26" s="7" t="s">
        <v>3363</v>
      </c>
      <c r="G26" s="10"/>
      <c r="H26" s="7" t="s">
        <v>3388</v>
      </c>
      <c r="I26" s="7" t="s">
        <v>2358</v>
      </c>
      <c r="J26" s="7" t="s">
        <v>3358</v>
      </c>
      <c r="K26" s="7" t="s">
        <v>850</v>
      </c>
      <c r="L26" s="11" t="str">
        <f>HYPERLINK("http://slimages.macys.com/is/image/MCY/16008731 ")</f>
        <v xml:space="preserve">http://slimages.macys.com/is/image/MCY/16008731 </v>
      </c>
    </row>
    <row r="27" spans="1:12" ht="39.950000000000003" customHeight="1" x14ac:dyDescent="0.25">
      <c r="A27" s="6" t="s">
        <v>851</v>
      </c>
      <c r="B27" s="7" t="s">
        <v>852</v>
      </c>
      <c r="C27" s="8">
        <v>1</v>
      </c>
      <c r="D27" s="9">
        <v>65.989999999999995</v>
      </c>
      <c r="E27" s="8" t="s">
        <v>853</v>
      </c>
      <c r="F27" s="7" t="s">
        <v>3925</v>
      </c>
      <c r="G27" s="10"/>
      <c r="H27" s="7" t="s">
        <v>3492</v>
      </c>
      <c r="I27" s="7" t="s">
        <v>2204</v>
      </c>
      <c r="J27" s="7" t="s">
        <v>3358</v>
      </c>
      <c r="K27" s="7" t="s">
        <v>3390</v>
      </c>
      <c r="L27" s="11" t="str">
        <f>HYPERLINK("http://slimages.macys.com/is/image/MCY/12264831 ")</f>
        <v xml:space="preserve">http://slimages.macys.com/is/image/MCY/12264831 </v>
      </c>
    </row>
    <row r="28" spans="1:12" ht="39.950000000000003" customHeight="1" x14ac:dyDescent="0.25">
      <c r="A28" s="6" t="s">
        <v>854</v>
      </c>
      <c r="B28" s="7" t="s">
        <v>855</v>
      </c>
      <c r="C28" s="8">
        <v>1</v>
      </c>
      <c r="D28" s="9">
        <v>65.989999999999995</v>
      </c>
      <c r="E28" s="8" t="s">
        <v>856</v>
      </c>
      <c r="F28" s="7" t="s">
        <v>3477</v>
      </c>
      <c r="G28" s="10"/>
      <c r="H28" s="7" t="s">
        <v>3492</v>
      </c>
      <c r="I28" s="7" t="s">
        <v>2204</v>
      </c>
      <c r="J28" s="7" t="s">
        <v>3358</v>
      </c>
      <c r="K28" s="7" t="s">
        <v>3390</v>
      </c>
      <c r="L28" s="11" t="str">
        <f>HYPERLINK("http://slimages.macys.com/is/image/MCY/12264831 ")</f>
        <v xml:space="preserve">http://slimages.macys.com/is/image/MCY/12264831 </v>
      </c>
    </row>
    <row r="29" spans="1:12" ht="39.950000000000003" customHeight="1" x14ac:dyDescent="0.25">
      <c r="A29" s="6" t="s">
        <v>2888</v>
      </c>
      <c r="B29" s="7" t="s">
        <v>2889</v>
      </c>
      <c r="C29" s="8">
        <v>1</v>
      </c>
      <c r="D29" s="9">
        <v>59.99</v>
      </c>
      <c r="E29" s="8">
        <v>81337</v>
      </c>
      <c r="F29" s="7" t="s">
        <v>3443</v>
      </c>
      <c r="G29" s="10"/>
      <c r="H29" s="7" t="s">
        <v>3412</v>
      </c>
      <c r="I29" s="7" t="s">
        <v>3595</v>
      </c>
      <c r="J29" s="7" t="s">
        <v>3358</v>
      </c>
      <c r="K29" s="7" t="s">
        <v>3390</v>
      </c>
      <c r="L29" s="11" t="str">
        <f>HYPERLINK("http://slimages.macys.com/is/image/MCY/15670928 ")</f>
        <v xml:space="preserve">http://slimages.macys.com/is/image/MCY/15670928 </v>
      </c>
    </row>
    <row r="30" spans="1:12" ht="39.950000000000003" customHeight="1" x14ac:dyDescent="0.25">
      <c r="A30" s="6" t="s">
        <v>857</v>
      </c>
      <c r="B30" s="7" t="s">
        <v>1550</v>
      </c>
      <c r="C30" s="8">
        <v>1</v>
      </c>
      <c r="D30" s="9">
        <v>99.99</v>
      </c>
      <c r="E30" s="8" t="s">
        <v>858</v>
      </c>
      <c r="F30" s="7" t="s">
        <v>3363</v>
      </c>
      <c r="G30" s="10" t="s">
        <v>3811</v>
      </c>
      <c r="H30" s="7" t="s">
        <v>3365</v>
      </c>
      <c r="I30" s="7" t="s">
        <v>3366</v>
      </c>
      <c r="J30" s="7" t="s">
        <v>3358</v>
      </c>
      <c r="K30" s="7" t="s">
        <v>4138</v>
      </c>
      <c r="L30" s="11" t="str">
        <f>HYPERLINK("http://slimages.macys.com/is/image/MCY/8182285 ")</f>
        <v xml:space="preserve">http://slimages.macys.com/is/image/MCY/8182285 </v>
      </c>
    </row>
    <row r="31" spans="1:12" ht="39.950000000000003" customHeight="1" x14ac:dyDescent="0.25">
      <c r="A31" s="6" t="s">
        <v>859</v>
      </c>
      <c r="B31" s="7" t="s">
        <v>860</v>
      </c>
      <c r="C31" s="8">
        <v>1</v>
      </c>
      <c r="D31" s="9">
        <v>35.99</v>
      </c>
      <c r="E31" s="8" t="s">
        <v>861</v>
      </c>
      <c r="F31" s="7" t="s">
        <v>3384</v>
      </c>
      <c r="G31" s="10" t="s">
        <v>3504</v>
      </c>
      <c r="H31" s="7" t="s">
        <v>3356</v>
      </c>
      <c r="I31" s="7" t="s">
        <v>3505</v>
      </c>
      <c r="J31" s="7" t="s">
        <v>3358</v>
      </c>
      <c r="K31" s="7" t="s">
        <v>1893</v>
      </c>
      <c r="L31" s="11" t="str">
        <f>HYPERLINK("http://slimages.macys.com/is/image/MCY/16276082 ")</f>
        <v xml:space="preserve">http://slimages.macys.com/is/image/MCY/16276082 </v>
      </c>
    </row>
    <row r="32" spans="1:12" ht="39.950000000000003" customHeight="1" x14ac:dyDescent="0.25">
      <c r="A32" s="6" t="s">
        <v>1376</v>
      </c>
      <c r="B32" s="7" t="s">
        <v>1377</v>
      </c>
      <c r="C32" s="8">
        <v>1</v>
      </c>
      <c r="D32" s="9">
        <v>49.99</v>
      </c>
      <c r="E32" s="8">
        <v>2000000035</v>
      </c>
      <c r="F32" s="7" t="s">
        <v>3477</v>
      </c>
      <c r="G32" s="10"/>
      <c r="H32" s="7" t="s">
        <v>3412</v>
      </c>
      <c r="I32" s="7" t="s">
        <v>3413</v>
      </c>
      <c r="J32" s="7"/>
      <c r="K32" s="7"/>
      <c r="L32" s="11" t="str">
        <f>HYPERLINK("http://slimages.macys.com/is/image/MCY/17814255 ")</f>
        <v xml:space="preserve">http://slimages.macys.com/is/image/MCY/17814255 </v>
      </c>
    </row>
    <row r="33" spans="1:12" ht="39.950000000000003" customHeight="1" x14ac:dyDescent="0.25">
      <c r="A33" s="6" t="s">
        <v>1880</v>
      </c>
      <c r="B33" s="7" t="s">
        <v>1881</v>
      </c>
      <c r="C33" s="8">
        <v>1</v>
      </c>
      <c r="D33" s="9">
        <v>59.99</v>
      </c>
      <c r="E33" s="8">
        <v>22331222</v>
      </c>
      <c r="F33" s="7" t="s">
        <v>3384</v>
      </c>
      <c r="G33" s="10"/>
      <c r="H33" s="7" t="s">
        <v>3412</v>
      </c>
      <c r="I33" s="7" t="s">
        <v>3413</v>
      </c>
      <c r="J33" s="7"/>
      <c r="K33" s="7"/>
      <c r="L33" s="11" t="str">
        <f>HYPERLINK("http://slimages.macys.com/is/image/MCY/17086908 ")</f>
        <v xml:space="preserve">http://slimages.macys.com/is/image/MCY/17086908 </v>
      </c>
    </row>
    <row r="34" spans="1:12" ht="39.950000000000003" customHeight="1" x14ac:dyDescent="0.25">
      <c r="A34" s="6" t="s">
        <v>862</v>
      </c>
      <c r="B34" s="7" t="s">
        <v>863</v>
      </c>
      <c r="C34" s="8">
        <v>1</v>
      </c>
      <c r="D34" s="9">
        <v>69.989999999999995</v>
      </c>
      <c r="E34" s="8" t="s">
        <v>864</v>
      </c>
      <c r="F34" s="7" t="s">
        <v>3701</v>
      </c>
      <c r="G34" s="10"/>
      <c r="H34" s="7" t="s">
        <v>3365</v>
      </c>
      <c r="I34" s="7" t="s">
        <v>3385</v>
      </c>
      <c r="J34" s="7" t="s">
        <v>3358</v>
      </c>
      <c r="K34" s="7" t="s">
        <v>4002</v>
      </c>
      <c r="L34" s="11" t="str">
        <f>HYPERLINK("http://slimages.macys.com/is/image/MCY/15495849 ")</f>
        <v xml:space="preserve">http://slimages.macys.com/is/image/MCY/15495849 </v>
      </c>
    </row>
    <row r="35" spans="1:12" ht="39.950000000000003" customHeight="1" x14ac:dyDescent="0.25">
      <c r="A35" s="6" t="s">
        <v>865</v>
      </c>
      <c r="B35" s="7" t="s">
        <v>866</v>
      </c>
      <c r="C35" s="8">
        <v>1</v>
      </c>
      <c r="D35" s="9">
        <v>89.99</v>
      </c>
      <c r="E35" s="8" t="s">
        <v>867</v>
      </c>
      <c r="F35" s="7" t="s">
        <v>3925</v>
      </c>
      <c r="G35" s="10"/>
      <c r="H35" s="7" t="s">
        <v>3365</v>
      </c>
      <c r="I35" s="7" t="s">
        <v>2522</v>
      </c>
      <c r="J35" s="7" t="s">
        <v>3751</v>
      </c>
      <c r="K35" s="7" t="s">
        <v>868</v>
      </c>
      <c r="L35" s="11" t="str">
        <f>HYPERLINK("http://slimages.macys.com/is/image/MCY/12354491 ")</f>
        <v xml:space="preserve">http://slimages.macys.com/is/image/MCY/12354491 </v>
      </c>
    </row>
    <row r="36" spans="1:12" ht="39.950000000000003" customHeight="1" x14ac:dyDescent="0.25">
      <c r="A36" s="6" t="s">
        <v>1381</v>
      </c>
      <c r="B36" s="7" t="s">
        <v>1382</v>
      </c>
      <c r="C36" s="8">
        <v>1</v>
      </c>
      <c r="D36" s="9">
        <v>49.99</v>
      </c>
      <c r="E36" s="8" t="s">
        <v>1383</v>
      </c>
      <c r="F36" s="7"/>
      <c r="G36" s="10"/>
      <c r="H36" s="7" t="s">
        <v>3412</v>
      </c>
      <c r="I36" s="7" t="s">
        <v>3510</v>
      </c>
      <c r="J36" s="7"/>
      <c r="K36" s="7"/>
      <c r="L36" s="11" t="str">
        <f>HYPERLINK("http://slimages.macys.com/is/image/MCY/17892683 ")</f>
        <v xml:space="preserve">http://slimages.macys.com/is/image/MCY/17892683 </v>
      </c>
    </row>
    <row r="37" spans="1:12" ht="39.950000000000003" customHeight="1" x14ac:dyDescent="0.25">
      <c r="A37" s="6" t="s">
        <v>869</v>
      </c>
      <c r="B37" s="7" t="s">
        <v>870</v>
      </c>
      <c r="C37" s="8">
        <v>2</v>
      </c>
      <c r="D37" s="9">
        <v>101.98</v>
      </c>
      <c r="E37" s="8" t="s">
        <v>871</v>
      </c>
      <c r="F37" s="7" t="s">
        <v>3363</v>
      </c>
      <c r="G37" s="10"/>
      <c r="H37" s="7" t="s">
        <v>3492</v>
      </c>
      <c r="I37" s="7" t="s">
        <v>872</v>
      </c>
      <c r="J37" s="7" t="s">
        <v>3358</v>
      </c>
      <c r="K37" s="7" t="s">
        <v>3506</v>
      </c>
      <c r="L37" s="11" t="str">
        <f>HYPERLINK("http://slimages.macys.com/is/image/MCY/11574160 ")</f>
        <v xml:space="preserve">http://slimages.macys.com/is/image/MCY/11574160 </v>
      </c>
    </row>
    <row r="38" spans="1:12" ht="39.950000000000003" customHeight="1" x14ac:dyDescent="0.25">
      <c r="A38" s="6" t="s">
        <v>873</v>
      </c>
      <c r="B38" s="7" t="s">
        <v>874</v>
      </c>
      <c r="C38" s="8">
        <v>1</v>
      </c>
      <c r="D38" s="9">
        <v>79.989999999999995</v>
      </c>
      <c r="E38" s="8" t="s">
        <v>875</v>
      </c>
      <c r="F38" s="7" t="s">
        <v>3925</v>
      </c>
      <c r="G38" s="10"/>
      <c r="H38" s="7" t="s">
        <v>3365</v>
      </c>
      <c r="I38" s="7" t="s">
        <v>2522</v>
      </c>
      <c r="J38" s="7" t="s">
        <v>3751</v>
      </c>
      <c r="K38" s="7" t="s">
        <v>868</v>
      </c>
      <c r="L38" s="11" t="str">
        <f>HYPERLINK("http://slimages.macys.com/is/image/MCY/12354490 ")</f>
        <v xml:space="preserve">http://slimages.macys.com/is/image/MCY/12354490 </v>
      </c>
    </row>
    <row r="39" spans="1:12" ht="39.950000000000003" customHeight="1" x14ac:dyDescent="0.25">
      <c r="A39" s="6" t="s">
        <v>876</v>
      </c>
      <c r="B39" s="7" t="s">
        <v>877</v>
      </c>
      <c r="C39" s="8">
        <v>1</v>
      </c>
      <c r="D39" s="9">
        <v>69.989999999999995</v>
      </c>
      <c r="E39" s="8" t="s">
        <v>878</v>
      </c>
      <c r="F39" s="7" t="s">
        <v>3701</v>
      </c>
      <c r="G39" s="10"/>
      <c r="H39" s="7" t="s">
        <v>3365</v>
      </c>
      <c r="I39" s="7" t="s">
        <v>3385</v>
      </c>
      <c r="J39" s="7" t="s">
        <v>3358</v>
      </c>
      <c r="K39" s="7" t="s">
        <v>4002</v>
      </c>
      <c r="L39" s="11" t="str">
        <f>HYPERLINK("http://slimages.macys.com/is/image/MCY/15495848 ")</f>
        <v xml:space="preserve">http://slimages.macys.com/is/image/MCY/15495848 </v>
      </c>
    </row>
    <row r="40" spans="1:12" ht="39.950000000000003" customHeight="1" x14ac:dyDescent="0.25">
      <c r="A40" s="6" t="s">
        <v>879</v>
      </c>
      <c r="B40" s="7" t="s">
        <v>880</v>
      </c>
      <c r="C40" s="8">
        <v>1</v>
      </c>
      <c r="D40" s="9">
        <v>31.99</v>
      </c>
      <c r="E40" s="8" t="s">
        <v>881</v>
      </c>
      <c r="F40" s="7" t="s">
        <v>3363</v>
      </c>
      <c r="G40" s="10"/>
      <c r="H40" s="7" t="s">
        <v>3388</v>
      </c>
      <c r="I40" s="7" t="s">
        <v>3186</v>
      </c>
      <c r="J40" s="7"/>
      <c r="K40" s="7"/>
      <c r="L40" s="11" t="str">
        <f>HYPERLINK("http://slimages.macys.com/is/image/MCY/17107492 ")</f>
        <v xml:space="preserve">http://slimages.macys.com/is/image/MCY/17107492 </v>
      </c>
    </row>
    <row r="41" spans="1:12" ht="39.950000000000003" customHeight="1" x14ac:dyDescent="0.25">
      <c r="A41" s="6" t="s">
        <v>882</v>
      </c>
      <c r="B41" s="7" t="s">
        <v>883</v>
      </c>
      <c r="C41" s="8">
        <v>1</v>
      </c>
      <c r="D41" s="9">
        <v>37.99</v>
      </c>
      <c r="E41" s="8" t="s">
        <v>884</v>
      </c>
      <c r="F41" s="7" t="s">
        <v>3371</v>
      </c>
      <c r="G41" s="10" t="s">
        <v>3453</v>
      </c>
      <c r="H41" s="7" t="s">
        <v>3356</v>
      </c>
      <c r="I41" s="7" t="s">
        <v>3505</v>
      </c>
      <c r="J41" s="7" t="s">
        <v>3358</v>
      </c>
      <c r="K41" s="7" t="s">
        <v>1703</v>
      </c>
      <c r="L41" s="11" t="str">
        <f>HYPERLINK("http://slimages.macys.com/is/image/MCY/14905702 ")</f>
        <v xml:space="preserve">http://slimages.macys.com/is/image/MCY/14905702 </v>
      </c>
    </row>
    <row r="42" spans="1:12" ht="39.950000000000003" customHeight="1" x14ac:dyDescent="0.25">
      <c r="A42" s="6" t="s">
        <v>885</v>
      </c>
      <c r="B42" s="7" t="s">
        <v>886</v>
      </c>
      <c r="C42" s="8">
        <v>1</v>
      </c>
      <c r="D42" s="9">
        <v>29.99</v>
      </c>
      <c r="E42" s="8" t="s">
        <v>1426</v>
      </c>
      <c r="F42" s="7" t="s">
        <v>887</v>
      </c>
      <c r="G42" s="10" t="s">
        <v>1427</v>
      </c>
      <c r="H42" s="7" t="s">
        <v>3431</v>
      </c>
      <c r="I42" s="7" t="s">
        <v>3432</v>
      </c>
      <c r="J42" s="7" t="s">
        <v>3358</v>
      </c>
      <c r="K42" s="7"/>
      <c r="L42" s="11" t="str">
        <f>HYPERLINK("http://slimages.macys.com/is/image/MCY/9356828 ")</f>
        <v xml:space="preserve">http://slimages.macys.com/is/image/MCY/9356828 </v>
      </c>
    </row>
    <row r="43" spans="1:12" ht="39.950000000000003" customHeight="1" x14ac:dyDescent="0.25">
      <c r="A43" s="6" t="s">
        <v>888</v>
      </c>
      <c r="B43" s="7" t="s">
        <v>889</v>
      </c>
      <c r="C43" s="8">
        <v>1</v>
      </c>
      <c r="D43" s="9">
        <v>79.989999999999995</v>
      </c>
      <c r="E43" s="8" t="s">
        <v>890</v>
      </c>
      <c r="F43" s="7" t="s">
        <v>3925</v>
      </c>
      <c r="G43" s="10"/>
      <c r="H43" s="7" t="s">
        <v>3365</v>
      </c>
      <c r="I43" s="7" t="s">
        <v>2522</v>
      </c>
      <c r="J43" s="7" t="s">
        <v>3751</v>
      </c>
      <c r="K43" s="7" t="s">
        <v>868</v>
      </c>
      <c r="L43" s="11" t="str">
        <f>HYPERLINK("http://slimages.macys.com/is/image/MCY/12354646 ")</f>
        <v xml:space="preserve">http://slimages.macys.com/is/image/MCY/12354646 </v>
      </c>
    </row>
    <row r="44" spans="1:12" ht="39.950000000000003" customHeight="1" x14ac:dyDescent="0.25">
      <c r="A44" s="6" t="s">
        <v>891</v>
      </c>
      <c r="B44" s="7" t="s">
        <v>892</v>
      </c>
      <c r="C44" s="8">
        <v>2</v>
      </c>
      <c r="D44" s="9">
        <v>119.98</v>
      </c>
      <c r="E44" s="8" t="s">
        <v>893</v>
      </c>
      <c r="F44" s="7" t="s">
        <v>3701</v>
      </c>
      <c r="G44" s="10"/>
      <c r="H44" s="7" t="s">
        <v>3365</v>
      </c>
      <c r="I44" s="7" t="s">
        <v>3385</v>
      </c>
      <c r="J44" s="7" t="s">
        <v>3358</v>
      </c>
      <c r="K44" s="7" t="s">
        <v>3702</v>
      </c>
      <c r="L44" s="11" t="str">
        <f>HYPERLINK("http://slimages.macys.com/is/image/MCY/15495852 ")</f>
        <v xml:space="preserve">http://slimages.macys.com/is/image/MCY/15495852 </v>
      </c>
    </row>
    <row r="45" spans="1:12" ht="39.950000000000003" customHeight="1" x14ac:dyDescent="0.25">
      <c r="A45" s="6" t="s">
        <v>894</v>
      </c>
      <c r="B45" s="7" t="s">
        <v>895</v>
      </c>
      <c r="C45" s="8">
        <v>1</v>
      </c>
      <c r="D45" s="9">
        <v>17.989999999999998</v>
      </c>
      <c r="E45" s="8" t="s">
        <v>896</v>
      </c>
      <c r="F45" s="7" t="s">
        <v>2770</v>
      </c>
      <c r="G45" s="10" t="s">
        <v>3532</v>
      </c>
      <c r="H45" s="7" t="s">
        <v>3372</v>
      </c>
      <c r="I45" s="7" t="s">
        <v>3565</v>
      </c>
      <c r="J45" s="7" t="s">
        <v>3358</v>
      </c>
      <c r="K45" s="7"/>
      <c r="L45" s="11" t="str">
        <f>HYPERLINK("http://slimages.macys.com/is/image/MCY/12723638 ")</f>
        <v xml:space="preserve">http://slimages.macys.com/is/image/MCY/12723638 </v>
      </c>
    </row>
    <row r="46" spans="1:12" ht="39.950000000000003" customHeight="1" x14ac:dyDescent="0.25">
      <c r="A46" s="6" t="s">
        <v>897</v>
      </c>
      <c r="B46" s="7" t="s">
        <v>898</v>
      </c>
      <c r="C46" s="8">
        <v>1</v>
      </c>
      <c r="D46" s="9">
        <v>27.99</v>
      </c>
      <c r="E46" s="8" t="s">
        <v>899</v>
      </c>
      <c r="F46" s="7" t="s">
        <v>3384</v>
      </c>
      <c r="G46" s="10" t="s">
        <v>3947</v>
      </c>
      <c r="H46" s="7" t="s">
        <v>3492</v>
      </c>
      <c r="I46" s="7" t="s">
        <v>2774</v>
      </c>
      <c r="J46" s="7" t="s">
        <v>3379</v>
      </c>
      <c r="K46" s="7" t="s">
        <v>3390</v>
      </c>
      <c r="L46" s="11" t="str">
        <f>HYPERLINK("http://slimages.macys.com/is/image/MCY/16367429 ")</f>
        <v xml:space="preserve">http://slimages.macys.com/is/image/MCY/16367429 </v>
      </c>
    </row>
    <row r="47" spans="1:12" ht="39.950000000000003" customHeight="1" x14ac:dyDescent="0.25">
      <c r="A47" s="6" t="s">
        <v>900</v>
      </c>
      <c r="B47" s="7" t="s">
        <v>901</v>
      </c>
      <c r="C47" s="8">
        <v>1</v>
      </c>
      <c r="D47" s="9">
        <v>19.989999999999998</v>
      </c>
      <c r="E47" s="8" t="s">
        <v>902</v>
      </c>
      <c r="F47" s="7" t="s">
        <v>3371</v>
      </c>
      <c r="G47" s="10" t="s">
        <v>903</v>
      </c>
      <c r="H47" s="7" t="s">
        <v>3492</v>
      </c>
      <c r="I47" s="7" t="s">
        <v>2204</v>
      </c>
      <c r="J47" s="7"/>
      <c r="K47" s="7"/>
      <c r="L47" s="11" t="str">
        <f>HYPERLINK("http://slimages.macys.com/is/image/MCY/17084244 ")</f>
        <v xml:space="preserve">http://slimages.macys.com/is/image/MCY/17084244 </v>
      </c>
    </row>
    <row r="48" spans="1:12" ht="39.950000000000003" customHeight="1" x14ac:dyDescent="0.25">
      <c r="A48" s="6" t="s">
        <v>904</v>
      </c>
      <c r="B48" s="7" t="s">
        <v>905</v>
      </c>
      <c r="C48" s="8">
        <v>1</v>
      </c>
      <c r="D48" s="9">
        <v>25.99</v>
      </c>
      <c r="E48" s="8" t="s">
        <v>906</v>
      </c>
      <c r="F48" s="7" t="s">
        <v>3937</v>
      </c>
      <c r="G48" s="10"/>
      <c r="H48" s="7" t="s">
        <v>4165</v>
      </c>
      <c r="I48" s="7" t="s">
        <v>4166</v>
      </c>
      <c r="J48" s="7" t="s">
        <v>3692</v>
      </c>
      <c r="K48" s="7" t="s">
        <v>4167</v>
      </c>
      <c r="L48" s="11" t="str">
        <f>HYPERLINK("http://slimages.macys.com/is/image/MCY/9898874 ")</f>
        <v xml:space="preserve">http://slimages.macys.com/is/image/MCY/9898874 </v>
      </c>
    </row>
    <row r="49" spans="1:12" ht="39.950000000000003" customHeight="1" x14ac:dyDescent="0.25">
      <c r="A49" s="6" t="s">
        <v>907</v>
      </c>
      <c r="B49" s="7" t="s">
        <v>908</v>
      </c>
      <c r="C49" s="8">
        <v>1</v>
      </c>
      <c r="D49" s="9">
        <v>19.989999999999998</v>
      </c>
      <c r="E49" s="8" t="s">
        <v>909</v>
      </c>
      <c r="F49" s="7" t="s">
        <v>3477</v>
      </c>
      <c r="G49" s="10"/>
      <c r="H49" s="7" t="s">
        <v>3526</v>
      </c>
      <c r="I49" s="7" t="s">
        <v>3527</v>
      </c>
      <c r="J49" s="7"/>
      <c r="K49" s="7"/>
      <c r="L49" s="11" t="str">
        <f>HYPERLINK("http://slimages.macys.com/is/image/MCY/17923602 ")</f>
        <v xml:space="preserve">http://slimages.macys.com/is/image/MCY/17923602 </v>
      </c>
    </row>
    <row r="50" spans="1:12" ht="39.950000000000003" customHeight="1" x14ac:dyDescent="0.25">
      <c r="A50" s="6" t="s">
        <v>910</v>
      </c>
      <c r="B50" s="7" t="s">
        <v>911</v>
      </c>
      <c r="C50" s="8">
        <v>1</v>
      </c>
      <c r="D50" s="9">
        <v>12.99</v>
      </c>
      <c r="E50" s="8">
        <v>63972</v>
      </c>
      <c r="F50" s="7" t="s">
        <v>3363</v>
      </c>
      <c r="G50" s="10"/>
      <c r="H50" s="7" t="s">
        <v>3388</v>
      </c>
      <c r="I50" s="7" t="s">
        <v>3389</v>
      </c>
      <c r="J50" s="7" t="s">
        <v>3379</v>
      </c>
      <c r="K50" s="7" t="s">
        <v>912</v>
      </c>
      <c r="L50" s="11" t="str">
        <f>HYPERLINK("http://slimages.macys.com/is/image/MCY/12926389 ")</f>
        <v xml:space="preserve">http://slimages.macys.com/is/image/MCY/12926389 </v>
      </c>
    </row>
    <row r="51" spans="1:12" ht="39.950000000000003" customHeight="1" x14ac:dyDescent="0.25">
      <c r="A51" s="6" t="s">
        <v>3540</v>
      </c>
      <c r="B51" s="7" t="s">
        <v>3541</v>
      </c>
      <c r="C51" s="8">
        <v>3</v>
      </c>
      <c r="D51" s="9">
        <v>120</v>
      </c>
      <c r="E51" s="8"/>
      <c r="F51" s="7" t="s">
        <v>3542</v>
      </c>
      <c r="G51" s="10" t="s">
        <v>3504</v>
      </c>
      <c r="H51" s="7" t="s">
        <v>3543</v>
      </c>
      <c r="I51" s="7" t="s">
        <v>3544</v>
      </c>
      <c r="J51" s="7"/>
      <c r="K51" s="7"/>
      <c r="L51" s="11"/>
    </row>
    <row r="52" spans="1:12" ht="39.950000000000003" customHeight="1" x14ac:dyDescent="0.25">
      <c r="A52" s="6"/>
      <c r="B52" s="7"/>
      <c r="C52" s="8"/>
      <c r="D52" s="9"/>
      <c r="E52" s="8"/>
      <c r="F52" s="7"/>
      <c r="G52" s="10"/>
      <c r="H52" s="7"/>
      <c r="I52" s="7"/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  <row r="57" spans="1:12" ht="39.950000000000003" customHeight="1" x14ac:dyDescent="0.25">
      <c r="A57" s="6"/>
      <c r="B57" s="7"/>
      <c r="C57" s="8"/>
      <c r="D57" s="9"/>
      <c r="E57" s="8"/>
      <c r="F57" s="7"/>
      <c r="G57" s="10"/>
      <c r="H57" s="7"/>
      <c r="I57" s="7"/>
      <c r="J57" s="7"/>
      <c r="K57" s="7"/>
      <c r="L57" s="11"/>
    </row>
    <row r="58" spans="1:12" ht="39.950000000000003" customHeight="1" x14ac:dyDescent="0.25">
      <c r="A58" s="6"/>
      <c r="B58" s="7"/>
      <c r="C58" s="8"/>
      <c r="D58" s="9"/>
      <c r="E58" s="8"/>
      <c r="F58" s="7"/>
      <c r="G58" s="10"/>
      <c r="H58" s="7"/>
      <c r="I58" s="7"/>
      <c r="J58" s="7"/>
      <c r="K58" s="7"/>
      <c r="L58" s="11"/>
    </row>
    <row r="59" spans="1:12" ht="39.950000000000003" customHeight="1" x14ac:dyDescent="0.25">
      <c r="A59" s="6"/>
      <c r="B59" s="7"/>
      <c r="C59" s="8"/>
      <c r="D59" s="9"/>
      <c r="E59" s="8"/>
      <c r="F59" s="7"/>
      <c r="G59" s="10"/>
      <c r="H59" s="7"/>
      <c r="I59" s="7"/>
      <c r="J59" s="7"/>
      <c r="K59" s="7"/>
      <c r="L59" s="11"/>
    </row>
    <row r="60" spans="1:12" ht="39.950000000000003" customHeight="1" x14ac:dyDescent="0.25">
      <c r="A60" s="6"/>
      <c r="B60" s="7"/>
      <c r="C60" s="8"/>
      <c r="D60" s="9"/>
      <c r="E60" s="8"/>
      <c r="F60" s="7"/>
      <c r="G60" s="10"/>
      <c r="H60" s="7"/>
      <c r="I60" s="7"/>
      <c r="J60" s="7"/>
      <c r="K60" s="7"/>
      <c r="L60" s="11"/>
    </row>
    <row r="61" spans="1:12" ht="39.950000000000003" customHeight="1" x14ac:dyDescent="0.25">
      <c r="A61" s="6"/>
      <c r="B61" s="7"/>
      <c r="C61" s="8"/>
      <c r="D61" s="9"/>
      <c r="E61" s="8"/>
      <c r="F61" s="7"/>
      <c r="G61" s="10"/>
      <c r="H61" s="7"/>
      <c r="I61" s="7"/>
      <c r="J61" s="7"/>
      <c r="K61" s="7"/>
      <c r="L61" s="11"/>
    </row>
    <row r="62" spans="1:12" ht="39.950000000000003" customHeight="1" x14ac:dyDescent="0.25">
      <c r="A62" s="6"/>
      <c r="B62" s="7"/>
      <c r="C62" s="8"/>
      <c r="D62" s="9"/>
      <c r="E62" s="8"/>
      <c r="F62" s="7"/>
      <c r="G62" s="10"/>
      <c r="H62" s="7"/>
      <c r="I62" s="7"/>
      <c r="J62" s="7"/>
      <c r="K62" s="7"/>
      <c r="L62" s="11"/>
    </row>
    <row r="63" spans="1:12" ht="39.950000000000003" customHeight="1" x14ac:dyDescent="0.25">
      <c r="A63" s="6"/>
      <c r="B63" s="7"/>
      <c r="C63" s="8"/>
      <c r="D63" s="9"/>
      <c r="E63" s="8"/>
      <c r="F63" s="7"/>
      <c r="G63" s="10"/>
      <c r="H63" s="7"/>
      <c r="I63" s="7"/>
      <c r="J63" s="7"/>
      <c r="K63" s="7"/>
      <c r="L63" s="11"/>
    </row>
  </sheetData>
  <phoneticPr fontId="0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913</v>
      </c>
      <c r="B2" s="7" t="s">
        <v>914</v>
      </c>
      <c r="C2" s="8">
        <v>1</v>
      </c>
      <c r="D2" s="9">
        <v>304.5</v>
      </c>
      <c r="E2" s="8" t="s">
        <v>915</v>
      </c>
      <c r="F2" s="7" t="s">
        <v>4049</v>
      </c>
      <c r="G2" s="10"/>
      <c r="H2" s="7" t="s">
        <v>3876</v>
      </c>
      <c r="I2" s="7" t="s">
        <v>3894</v>
      </c>
      <c r="J2" s="7"/>
      <c r="K2" s="7"/>
      <c r="L2" s="11" t="str">
        <f>HYPERLINK("http://slimages.macys.com/is/image/MCY/17926579 ")</f>
        <v xml:space="preserve">http://slimages.macys.com/is/image/MCY/17926579 </v>
      </c>
    </row>
    <row r="3" spans="1:12" ht="39.950000000000003" customHeight="1" x14ac:dyDescent="0.25">
      <c r="A3" s="6" t="s">
        <v>916</v>
      </c>
      <c r="B3" s="7" t="s">
        <v>917</v>
      </c>
      <c r="C3" s="8">
        <v>1</v>
      </c>
      <c r="D3" s="9">
        <v>450</v>
      </c>
      <c r="E3" s="8" t="s">
        <v>918</v>
      </c>
      <c r="F3" s="7" t="s">
        <v>3498</v>
      </c>
      <c r="G3" s="10"/>
      <c r="H3" s="7" t="s">
        <v>3397</v>
      </c>
      <c r="I3" s="7" t="s">
        <v>2401</v>
      </c>
      <c r="J3" s="7" t="s">
        <v>3751</v>
      </c>
      <c r="K3" s="7" t="s">
        <v>919</v>
      </c>
      <c r="L3" s="11" t="str">
        <f>HYPERLINK("http://images.bloomingdales.com/is/image/BLM/10779773 ")</f>
        <v xml:space="preserve">http://images.bloomingdales.com/is/image/BLM/10779773 </v>
      </c>
    </row>
    <row r="4" spans="1:12" ht="39.950000000000003" customHeight="1" x14ac:dyDescent="0.25">
      <c r="A4" s="6" t="s">
        <v>920</v>
      </c>
      <c r="B4" s="7" t="s">
        <v>921</v>
      </c>
      <c r="C4" s="8">
        <v>1</v>
      </c>
      <c r="D4" s="9">
        <v>219.99</v>
      </c>
      <c r="E4" s="8" t="s">
        <v>922</v>
      </c>
      <c r="F4" s="7" t="s">
        <v>3371</v>
      </c>
      <c r="G4" s="10"/>
      <c r="H4" s="7" t="s">
        <v>3427</v>
      </c>
      <c r="I4" s="7" t="s">
        <v>2401</v>
      </c>
      <c r="J4" s="7" t="s">
        <v>3358</v>
      </c>
      <c r="K4" s="7" t="s">
        <v>3521</v>
      </c>
      <c r="L4" s="11" t="str">
        <f>HYPERLINK("http://slimages.macys.com/is/image/MCY/13815896 ")</f>
        <v xml:space="preserve">http://slimages.macys.com/is/image/MCY/13815896 </v>
      </c>
    </row>
    <row r="5" spans="1:12" ht="39.950000000000003" customHeight="1" x14ac:dyDescent="0.25">
      <c r="A5" s="6" t="s">
        <v>923</v>
      </c>
      <c r="B5" s="7" t="s">
        <v>924</v>
      </c>
      <c r="C5" s="8">
        <v>1</v>
      </c>
      <c r="D5" s="9">
        <v>219.99</v>
      </c>
      <c r="E5" s="8" t="s">
        <v>925</v>
      </c>
      <c r="F5" s="7" t="s">
        <v>3443</v>
      </c>
      <c r="G5" s="10"/>
      <c r="H5" s="7" t="s">
        <v>3412</v>
      </c>
      <c r="I5" s="7" t="s">
        <v>3436</v>
      </c>
      <c r="J5" s="7" t="s">
        <v>3358</v>
      </c>
      <c r="K5" s="7" t="s">
        <v>2415</v>
      </c>
      <c r="L5" s="11" t="str">
        <f>HYPERLINK("http://slimages.macys.com/is/image/MCY/9536375 ")</f>
        <v xml:space="preserve">http://slimages.macys.com/is/image/MCY/9536375 </v>
      </c>
    </row>
    <row r="6" spans="1:12" ht="39.950000000000003" customHeight="1" x14ac:dyDescent="0.25">
      <c r="A6" s="6" t="s">
        <v>926</v>
      </c>
      <c r="B6" s="7" t="s">
        <v>927</v>
      </c>
      <c r="C6" s="8">
        <v>1</v>
      </c>
      <c r="D6" s="9">
        <v>179.99</v>
      </c>
      <c r="E6" s="8" t="s">
        <v>928</v>
      </c>
      <c r="F6" s="7" t="s">
        <v>3498</v>
      </c>
      <c r="G6" s="10"/>
      <c r="H6" s="7" t="s">
        <v>3827</v>
      </c>
      <c r="I6" s="7" t="s">
        <v>3828</v>
      </c>
      <c r="J6" s="7"/>
      <c r="K6" s="7"/>
      <c r="L6" s="11" t="str">
        <f>HYPERLINK("http://slimages.macys.com/is/image/MCY/16608843 ")</f>
        <v xml:space="preserve">http://slimages.macys.com/is/image/MCY/16608843 </v>
      </c>
    </row>
    <row r="7" spans="1:12" ht="39.950000000000003" customHeight="1" x14ac:dyDescent="0.25">
      <c r="A7" s="6" t="s">
        <v>2420</v>
      </c>
      <c r="B7" s="7" t="s">
        <v>2421</v>
      </c>
      <c r="C7" s="8">
        <v>1</v>
      </c>
      <c r="D7" s="9">
        <v>279.99</v>
      </c>
      <c r="E7" s="8" t="s">
        <v>2422</v>
      </c>
      <c r="F7" s="7" t="s">
        <v>3355</v>
      </c>
      <c r="G7" s="10"/>
      <c r="H7" s="7" t="s">
        <v>3365</v>
      </c>
      <c r="I7" s="7" t="s">
        <v>3554</v>
      </c>
      <c r="J7" s="7" t="s">
        <v>3358</v>
      </c>
      <c r="K7" s="7" t="s">
        <v>3573</v>
      </c>
      <c r="L7" s="11" t="str">
        <f>HYPERLINK("http://slimages.macys.com/is/image/MCY/15767044 ")</f>
        <v xml:space="preserve">http://slimages.macys.com/is/image/MCY/15767044 </v>
      </c>
    </row>
    <row r="8" spans="1:12" ht="39.950000000000003" customHeight="1" x14ac:dyDescent="0.25">
      <c r="A8" s="6" t="s">
        <v>3830</v>
      </c>
      <c r="B8" s="7" t="s">
        <v>3831</v>
      </c>
      <c r="C8" s="8">
        <v>1</v>
      </c>
      <c r="D8" s="9">
        <v>179.99</v>
      </c>
      <c r="E8" s="8">
        <v>81393</v>
      </c>
      <c r="F8" s="7" t="s">
        <v>3553</v>
      </c>
      <c r="G8" s="10"/>
      <c r="H8" s="7" t="s">
        <v>3412</v>
      </c>
      <c r="I8" s="7" t="s">
        <v>3595</v>
      </c>
      <c r="J8" s="7" t="s">
        <v>3358</v>
      </c>
      <c r="K8" s="7" t="s">
        <v>3832</v>
      </c>
      <c r="L8" s="11" t="str">
        <f>HYPERLINK("http://slimages.macys.com/is/image/MCY/14789644 ")</f>
        <v xml:space="preserve">http://slimages.macys.com/is/image/MCY/14789644 </v>
      </c>
    </row>
    <row r="9" spans="1:12" ht="39.950000000000003" customHeight="1" x14ac:dyDescent="0.25">
      <c r="A9" s="6" t="s">
        <v>929</v>
      </c>
      <c r="B9" s="7" t="s">
        <v>930</v>
      </c>
      <c r="C9" s="8">
        <v>1</v>
      </c>
      <c r="D9" s="9">
        <v>118.99</v>
      </c>
      <c r="E9" s="8" t="s">
        <v>931</v>
      </c>
      <c r="F9" s="7" t="s">
        <v>3673</v>
      </c>
      <c r="G9" s="10" t="s">
        <v>932</v>
      </c>
      <c r="H9" s="7" t="s">
        <v>3526</v>
      </c>
      <c r="I9" s="7" t="s">
        <v>3865</v>
      </c>
      <c r="J9" s="7" t="s">
        <v>3358</v>
      </c>
      <c r="K9" s="7" t="s">
        <v>2430</v>
      </c>
      <c r="L9" s="11" t="str">
        <f>HYPERLINK("http://slimages.macys.com/is/image/MCY/8433277 ")</f>
        <v xml:space="preserve">http://slimages.macys.com/is/image/MCY/8433277 </v>
      </c>
    </row>
    <row r="10" spans="1:12" ht="39.950000000000003" customHeight="1" x14ac:dyDescent="0.25">
      <c r="A10" s="6" t="s">
        <v>933</v>
      </c>
      <c r="B10" s="7" t="s">
        <v>934</v>
      </c>
      <c r="C10" s="8">
        <v>1</v>
      </c>
      <c r="D10" s="9">
        <v>130</v>
      </c>
      <c r="E10" s="8">
        <v>8051275393702</v>
      </c>
      <c r="F10" s="7" t="s">
        <v>3735</v>
      </c>
      <c r="G10" s="10" t="s">
        <v>3504</v>
      </c>
      <c r="H10" s="7" t="s">
        <v>3372</v>
      </c>
      <c r="I10" s="7" t="s">
        <v>935</v>
      </c>
      <c r="J10" s="7" t="s">
        <v>1623</v>
      </c>
      <c r="K10" s="7" t="s">
        <v>3484</v>
      </c>
      <c r="L10" s="11" t="str">
        <f>HYPERLINK("http://images.bloomingdales.com/is/image/BLM/10366558 ")</f>
        <v xml:space="preserve">http://images.bloomingdales.com/is/image/BLM/10366558 </v>
      </c>
    </row>
    <row r="11" spans="1:12" ht="39.950000000000003" customHeight="1" x14ac:dyDescent="0.25">
      <c r="A11" s="6" t="s">
        <v>936</v>
      </c>
      <c r="B11" s="7" t="s">
        <v>937</v>
      </c>
      <c r="C11" s="8">
        <v>2</v>
      </c>
      <c r="D11" s="9">
        <v>199.98</v>
      </c>
      <c r="E11" s="8">
        <v>800001</v>
      </c>
      <c r="F11" s="7" t="s">
        <v>3384</v>
      </c>
      <c r="G11" s="10"/>
      <c r="H11" s="7" t="s">
        <v>3526</v>
      </c>
      <c r="I11" s="7" t="s">
        <v>938</v>
      </c>
      <c r="J11" s="7" t="s">
        <v>3358</v>
      </c>
      <c r="K11" s="7" t="s">
        <v>939</v>
      </c>
      <c r="L11" s="11" t="str">
        <f>HYPERLINK("http://slimages.macys.com/is/image/MCY/13782278 ")</f>
        <v xml:space="preserve">http://slimages.macys.com/is/image/MCY/13782278 </v>
      </c>
    </row>
    <row r="12" spans="1:12" ht="39.950000000000003" customHeight="1" x14ac:dyDescent="0.25">
      <c r="A12" s="6" t="s">
        <v>940</v>
      </c>
      <c r="B12" s="7" t="s">
        <v>941</v>
      </c>
      <c r="C12" s="8">
        <v>1</v>
      </c>
      <c r="D12" s="9">
        <v>270</v>
      </c>
      <c r="E12" s="8" t="s">
        <v>942</v>
      </c>
      <c r="F12" s="7" t="s">
        <v>3600</v>
      </c>
      <c r="G12" s="10"/>
      <c r="H12" s="7" t="s">
        <v>3365</v>
      </c>
      <c r="I12" s="7" t="s">
        <v>3855</v>
      </c>
      <c r="J12" s="7"/>
      <c r="K12" s="7"/>
      <c r="L12" s="11" t="str">
        <f>HYPERLINK("http://slimages.macys.com/is/image/MCY/2369279 ")</f>
        <v xml:space="preserve">http://slimages.macys.com/is/image/MCY/2369279 </v>
      </c>
    </row>
    <row r="13" spans="1:12" ht="39.950000000000003" customHeight="1" x14ac:dyDescent="0.25">
      <c r="A13" s="6" t="s">
        <v>943</v>
      </c>
      <c r="B13" s="7" t="s">
        <v>944</v>
      </c>
      <c r="C13" s="8">
        <v>1</v>
      </c>
      <c r="D13" s="9">
        <v>130</v>
      </c>
      <c r="E13" s="8" t="s">
        <v>945</v>
      </c>
      <c r="F13" s="7" t="s">
        <v>3525</v>
      </c>
      <c r="G13" s="10" t="s">
        <v>3504</v>
      </c>
      <c r="H13" s="7" t="s">
        <v>3356</v>
      </c>
      <c r="I13" s="7" t="s">
        <v>946</v>
      </c>
      <c r="J13" s="7" t="s">
        <v>3751</v>
      </c>
      <c r="K13" s="7" t="s">
        <v>947</v>
      </c>
      <c r="L13" s="11" t="str">
        <f>HYPERLINK("http://images.bloomingdales.com/is/image/BLM/11042578 ")</f>
        <v xml:space="preserve">http://images.bloomingdales.com/is/image/BLM/11042578 </v>
      </c>
    </row>
    <row r="14" spans="1:12" ht="39.950000000000003" customHeight="1" x14ac:dyDescent="0.25">
      <c r="A14" s="6" t="s">
        <v>948</v>
      </c>
      <c r="B14" s="7" t="s">
        <v>949</v>
      </c>
      <c r="C14" s="8">
        <v>1</v>
      </c>
      <c r="D14" s="9">
        <v>147.99</v>
      </c>
      <c r="E14" s="8" t="s">
        <v>950</v>
      </c>
      <c r="F14" s="7" t="s">
        <v>4021</v>
      </c>
      <c r="G14" s="10"/>
      <c r="H14" s="7" t="s">
        <v>3492</v>
      </c>
      <c r="I14" s="7" t="s">
        <v>1450</v>
      </c>
      <c r="J14" s="7" t="s">
        <v>3358</v>
      </c>
      <c r="K14" s="7" t="s">
        <v>3582</v>
      </c>
      <c r="L14" s="11" t="str">
        <f>HYPERLINK("http://slimages.macys.com/is/image/MCY/11628939 ")</f>
        <v xml:space="preserve">http://slimages.macys.com/is/image/MCY/11628939 </v>
      </c>
    </row>
    <row r="15" spans="1:12" ht="39.950000000000003" customHeight="1" x14ac:dyDescent="0.25">
      <c r="A15" s="6" t="s">
        <v>951</v>
      </c>
      <c r="B15" s="7" t="s">
        <v>952</v>
      </c>
      <c r="C15" s="8">
        <v>2</v>
      </c>
      <c r="D15" s="9">
        <v>388</v>
      </c>
      <c r="E15" s="8" t="s">
        <v>953</v>
      </c>
      <c r="F15" s="7" t="s">
        <v>3525</v>
      </c>
      <c r="G15" s="10" t="s">
        <v>954</v>
      </c>
      <c r="H15" s="7" t="s">
        <v>3397</v>
      </c>
      <c r="I15" s="7" t="s">
        <v>955</v>
      </c>
      <c r="J15" s="7" t="s">
        <v>3813</v>
      </c>
      <c r="K15" s="7" t="s">
        <v>956</v>
      </c>
      <c r="L15" s="11" t="str">
        <f>HYPERLINK("http://images.bloomingdales.com/is/image/BLM/10807008 ")</f>
        <v xml:space="preserve">http://images.bloomingdales.com/is/image/BLM/10807008 </v>
      </c>
    </row>
    <row r="16" spans="1:12" ht="39.950000000000003" customHeight="1" x14ac:dyDescent="0.25">
      <c r="A16" s="6" t="s">
        <v>957</v>
      </c>
      <c r="B16" s="7" t="s">
        <v>958</v>
      </c>
      <c r="C16" s="8">
        <v>1</v>
      </c>
      <c r="D16" s="9">
        <v>119.99</v>
      </c>
      <c r="E16" s="8" t="s">
        <v>959</v>
      </c>
      <c r="F16" s="7" t="s">
        <v>3363</v>
      </c>
      <c r="G16" s="10" t="s">
        <v>3460</v>
      </c>
      <c r="H16" s="7" t="s">
        <v>3388</v>
      </c>
      <c r="I16" s="7" t="s">
        <v>960</v>
      </c>
      <c r="J16" s="7" t="s">
        <v>3379</v>
      </c>
      <c r="K16" s="7" t="s">
        <v>961</v>
      </c>
      <c r="L16" s="11" t="str">
        <f>HYPERLINK("http://slimages.macys.com/is/image/MCY/12673096 ")</f>
        <v xml:space="preserve">http://slimages.macys.com/is/image/MCY/12673096 </v>
      </c>
    </row>
    <row r="17" spans="1:12" ht="39.950000000000003" customHeight="1" x14ac:dyDescent="0.25">
      <c r="A17" s="6" t="s">
        <v>962</v>
      </c>
      <c r="B17" s="7" t="s">
        <v>963</v>
      </c>
      <c r="C17" s="8">
        <v>1</v>
      </c>
      <c r="D17" s="9">
        <v>130</v>
      </c>
      <c r="E17" s="8" t="s">
        <v>964</v>
      </c>
      <c r="F17" s="7" t="s">
        <v>3514</v>
      </c>
      <c r="G17" s="10"/>
      <c r="H17" s="7" t="s">
        <v>3397</v>
      </c>
      <c r="I17" s="7" t="s">
        <v>965</v>
      </c>
      <c r="J17" s="7"/>
      <c r="K17" s="7"/>
      <c r="L17" s="11" t="str">
        <f>HYPERLINK("http://slimages.macys.com/is/image/MCY/16904272 ")</f>
        <v xml:space="preserve">http://slimages.macys.com/is/image/MCY/16904272 </v>
      </c>
    </row>
    <row r="18" spans="1:12" ht="39.950000000000003" customHeight="1" x14ac:dyDescent="0.25">
      <c r="A18" s="6" t="s">
        <v>966</v>
      </c>
      <c r="B18" s="7" t="s">
        <v>967</v>
      </c>
      <c r="C18" s="8">
        <v>1</v>
      </c>
      <c r="D18" s="9">
        <v>89.99</v>
      </c>
      <c r="E18" s="8" t="s">
        <v>968</v>
      </c>
      <c r="F18" s="7" t="s">
        <v>3371</v>
      </c>
      <c r="G18" s="10"/>
      <c r="H18" s="7" t="s">
        <v>3356</v>
      </c>
      <c r="I18" s="7" t="s">
        <v>3849</v>
      </c>
      <c r="J18" s="7"/>
      <c r="K18" s="7"/>
      <c r="L18" s="11" t="str">
        <f>HYPERLINK("http://slimages.macys.com/is/image/MCY/18515438 ")</f>
        <v xml:space="preserve">http://slimages.macys.com/is/image/MCY/18515438 </v>
      </c>
    </row>
    <row r="19" spans="1:12" ht="39.950000000000003" customHeight="1" x14ac:dyDescent="0.25">
      <c r="A19" s="6" t="s">
        <v>1839</v>
      </c>
      <c r="B19" s="7" t="s">
        <v>1840</v>
      </c>
      <c r="C19" s="8">
        <v>1</v>
      </c>
      <c r="D19" s="9">
        <v>99.99</v>
      </c>
      <c r="E19" s="8" t="s">
        <v>1841</v>
      </c>
      <c r="F19" s="7" t="s">
        <v>3384</v>
      </c>
      <c r="G19" s="10"/>
      <c r="H19" s="7" t="s">
        <v>3408</v>
      </c>
      <c r="I19" s="7" t="s">
        <v>3409</v>
      </c>
      <c r="J19" s="7"/>
      <c r="K19" s="7"/>
      <c r="L19" s="11" t="str">
        <f>HYPERLINK("http://slimages.macys.com/is/image/MCY/17050009 ")</f>
        <v xml:space="preserve">http://slimages.macys.com/is/image/MCY/17050009 </v>
      </c>
    </row>
    <row r="20" spans="1:12" ht="39.950000000000003" customHeight="1" x14ac:dyDescent="0.25">
      <c r="A20" s="6" t="s">
        <v>969</v>
      </c>
      <c r="B20" s="7" t="s">
        <v>970</v>
      </c>
      <c r="C20" s="8">
        <v>1</v>
      </c>
      <c r="D20" s="9">
        <v>59.99</v>
      </c>
      <c r="E20" s="8" t="s">
        <v>971</v>
      </c>
      <c r="F20" s="7" t="s">
        <v>3673</v>
      </c>
      <c r="G20" s="10"/>
      <c r="H20" s="7" t="s">
        <v>3526</v>
      </c>
      <c r="I20" s="7" t="s">
        <v>3865</v>
      </c>
      <c r="J20" s="7" t="s">
        <v>3358</v>
      </c>
      <c r="K20" s="7" t="s">
        <v>4002</v>
      </c>
      <c r="L20" s="11" t="str">
        <f>HYPERLINK("http://slimages.macys.com/is/image/MCY/13036438 ")</f>
        <v xml:space="preserve">http://slimages.macys.com/is/image/MCY/13036438 </v>
      </c>
    </row>
    <row r="21" spans="1:12" ht="39.950000000000003" customHeight="1" x14ac:dyDescent="0.25">
      <c r="A21" s="6" t="s">
        <v>972</v>
      </c>
      <c r="B21" s="7" t="s">
        <v>973</v>
      </c>
      <c r="C21" s="8">
        <v>1</v>
      </c>
      <c r="D21" s="9">
        <v>59.99</v>
      </c>
      <c r="E21" s="8" t="s">
        <v>974</v>
      </c>
      <c r="F21" s="7" t="s">
        <v>3498</v>
      </c>
      <c r="G21" s="10"/>
      <c r="H21" s="7" t="s">
        <v>3526</v>
      </c>
      <c r="I21" s="7" t="s">
        <v>3865</v>
      </c>
      <c r="J21" s="7" t="s">
        <v>3358</v>
      </c>
      <c r="K21" s="7" t="s">
        <v>4002</v>
      </c>
      <c r="L21" s="11" t="str">
        <f>HYPERLINK("http://slimages.macys.com/is/image/MCY/13036438 ")</f>
        <v xml:space="preserve">http://slimages.macys.com/is/image/MCY/13036438 </v>
      </c>
    </row>
    <row r="22" spans="1:12" ht="39.950000000000003" customHeight="1" x14ac:dyDescent="0.25">
      <c r="A22" s="6" t="s">
        <v>975</v>
      </c>
      <c r="B22" s="7" t="s">
        <v>976</v>
      </c>
      <c r="C22" s="8">
        <v>1</v>
      </c>
      <c r="D22" s="9">
        <v>72</v>
      </c>
      <c r="E22" s="8" t="s">
        <v>977</v>
      </c>
      <c r="F22" s="7" t="s">
        <v>3542</v>
      </c>
      <c r="G22" s="10" t="s">
        <v>3504</v>
      </c>
      <c r="H22" s="7" t="s">
        <v>4165</v>
      </c>
      <c r="I22" s="7" t="s">
        <v>978</v>
      </c>
      <c r="J22" s="7" t="s">
        <v>3358</v>
      </c>
      <c r="K22" s="7" t="s">
        <v>979</v>
      </c>
      <c r="L22" s="11" t="str">
        <f>HYPERLINK("http://slimages.macys.com/is/image/MCY/15910490 ")</f>
        <v xml:space="preserve">http://slimages.macys.com/is/image/MCY/15910490 </v>
      </c>
    </row>
    <row r="23" spans="1:12" ht="39.950000000000003" customHeight="1" x14ac:dyDescent="0.25">
      <c r="A23" s="6" t="s">
        <v>980</v>
      </c>
      <c r="B23" s="7" t="s">
        <v>981</v>
      </c>
      <c r="C23" s="8">
        <v>1</v>
      </c>
      <c r="D23" s="9">
        <v>49.99</v>
      </c>
      <c r="E23" s="8" t="s">
        <v>982</v>
      </c>
      <c r="F23" s="7" t="s">
        <v>3673</v>
      </c>
      <c r="G23" s="10"/>
      <c r="H23" s="7" t="s">
        <v>3526</v>
      </c>
      <c r="I23" s="7" t="s">
        <v>3865</v>
      </c>
      <c r="J23" s="7" t="s">
        <v>3358</v>
      </c>
      <c r="K23" s="7"/>
      <c r="L23" s="11" t="str">
        <f>HYPERLINK("http://slimages.macys.com/is/image/MCY/12658743 ")</f>
        <v xml:space="preserve">http://slimages.macys.com/is/image/MCY/12658743 </v>
      </c>
    </row>
    <row r="24" spans="1:12" ht="39.950000000000003" customHeight="1" x14ac:dyDescent="0.25">
      <c r="A24" s="6" t="s">
        <v>983</v>
      </c>
      <c r="B24" s="7" t="s">
        <v>984</v>
      </c>
      <c r="C24" s="8">
        <v>1</v>
      </c>
      <c r="D24" s="9">
        <v>185</v>
      </c>
      <c r="E24" s="8" t="s">
        <v>985</v>
      </c>
      <c r="F24" s="7" t="s">
        <v>3673</v>
      </c>
      <c r="G24" s="10"/>
      <c r="H24" s="7" t="s">
        <v>3418</v>
      </c>
      <c r="I24" s="7" t="s">
        <v>3195</v>
      </c>
      <c r="J24" s="7" t="s">
        <v>3813</v>
      </c>
      <c r="K24" s="7" t="s">
        <v>3484</v>
      </c>
      <c r="L24" s="11" t="str">
        <f>HYPERLINK("http://images.bloomingdales.com/is/image/BLM/11255141 ")</f>
        <v xml:space="preserve">http://images.bloomingdales.com/is/image/BLM/11255141 </v>
      </c>
    </row>
    <row r="25" spans="1:12" ht="39.950000000000003" customHeight="1" x14ac:dyDescent="0.25">
      <c r="A25" s="6" t="s">
        <v>986</v>
      </c>
      <c r="B25" s="7" t="s">
        <v>987</v>
      </c>
      <c r="C25" s="8">
        <v>1</v>
      </c>
      <c r="D25" s="9">
        <v>49.99</v>
      </c>
      <c r="E25" s="8" t="s">
        <v>988</v>
      </c>
      <c r="F25" s="7" t="s">
        <v>3363</v>
      </c>
      <c r="G25" s="10"/>
      <c r="H25" s="7" t="s">
        <v>3526</v>
      </c>
      <c r="I25" s="7" t="s">
        <v>3865</v>
      </c>
      <c r="J25" s="7" t="s">
        <v>3358</v>
      </c>
      <c r="K25" s="7"/>
      <c r="L25" s="11" t="str">
        <f>HYPERLINK("http://slimages.macys.com/is/image/MCY/12658743 ")</f>
        <v xml:space="preserve">http://slimages.macys.com/is/image/MCY/12658743 </v>
      </c>
    </row>
    <row r="26" spans="1:12" ht="39.950000000000003" customHeight="1" x14ac:dyDescent="0.25">
      <c r="A26" s="6" t="s">
        <v>2502</v>
      </c>
      <c r="B26" s="7" t="s">
        <v>2503</v>
      </c>
      <c r="C26" s="8">
        <v>1</v>
      </c>
      <c r="D26" s="9">
        <v>49.99</v>
      </c>
      <c r="E26" s="8" t="s">
        <v>2504</v>
      </c>
      <c r="F26" s="7" t="s">
        <v>3498</v>
      </c>
      <c r="G26" s="10"/>
      <c r="H26" s="7" t="s">
        <v>3526</v>
      </c>
      <c r="I26" s="7" t="s">
        <v>3865</v>
      </c>
      <c r="J26" s="7" t="s">
        <v>3358</v>
      </c>
      <c r="K26" s="7"/>
      <c r="L26" s="11" t="str">
        <f>HYPERLINK("http://slimages.macys.com/is/image/MCY/12658743 ")</f>
        <v xml:space="preserve">http://slimages.macys.com/is/image/MCY/12658743 </v>
      </c>
    </row>
    <row r="27" spans="1:12" ht="39.950000000000003" customHeight="1" x14ac:dyDescent="0.25">
      <c r="A27" s="6" t="s">
        <v>989</v>
      </c>
      <c r="B27" s="7" t="s">
        <v>990</v>
      </c>
      <c r="C27" s="8">
        <v>1</v>
      </c>
      <c r="D27" s="9">
        <v>55.99</v>
      </c>
      <c r="E27" s="8" t="s">
        <v>991</v>
      </c>
      <c r="F27" s="7" t="s">
        <v>3514</v>
      </c>
      <c r="G27" s="10"/>
      <c r="H27" s="7" t="s">
        <v>3526</v>
      </c>
      <c r="I27" s="7" t="s">
        <v>3722</v>
      </c>
      <c r="J27" s="7" t="s">
        <v>3358</v>
      </c>
      <c r="K27" s="7" t="s">
        <v>992</v>
      </c>
      <c r="L27" s="11" t="str">
        <f>HYPERLINK("http://slimages.macys.com/is/image/MCY/10377688 ")</f>
        <v xml:space="preserve">http://slimages.macys.com/is/image/MCY/10377688 </v>
      </c>
    </row>
    <row r="28" spans="1:12" ht="39.950000000000003" customHeight="1" x14ac:dyDescent="0.25">
      <c r="A28" s="6" t="s">
        <v>2873</v>
      </c>
      <c r="B28" s="7" t="s">
        <v>2874</v>
      </c>
      <c r="C28" s="8">
        <v>1</v>
      </c>
      <c r="D28" s="9">
        <v>69.989999999999995</v>
      </c>
      <c r="E28" s="8" t="s">
        <v>2875</v>
      </c>
      <c r="F28" s="7" t="s">
        <v>3452</v>
      </c>
      <c r="G28" s="10"/>
      <c r="H28" s="7" t="s">
        <v>3356</v>
      </c>
      <c r="I28" s="7" t="s">
        <v>2876</v>
      </c>
      <c r="J28" s="7" t="s">
        <v>3358</v>
      </c>
      <c r="K28" s="7" t="s">
        <v>3390</v>
      </c>
      <c r="L28" s="11" t="str">
        <f>HYPERLINK("http://slimages.macys.com/is/image/MCY/3819330 ")</f>
        <v xml:space="preserve">http://slimages.macys.com/is/image/MCY/3819330 </v>
      </c>
    </row>
    <row r="29" spans="1:12" ht="39.950000000000003" customHeight="1" x14ac:dyDescent="0.25">
      <c r="A29" s="6" t="s">
        <v>993</v>
      </c>
      <c r="B29" s="7" t="s">
        <v>994</v>
      </c>
      <c r="C29" s="8">
        <v>1</v>
      </c>
      <c r="D29" s="9">
        <v>79.989999999999995</v>
      </c>
      <c r="E29" s="8" t="s">
        <v>995</v>
      </c>
      <c r="F29" s="7" t="s">
        <v>3363</v>
      </c>
      <c r="G29" s="10" t="s">
        <v>3663</v>
      </c>
      <c r="H29" s="7" t="s">
        <v>3471</v>
      </c>
      <c r="I29" s="7" t="s">
        <v>2549</v>
      </c>
      <c r="J29" s="7" t="s">
        <v>3358</v>
      </c>
      <c r="K29" s="7"/>
      <c r="L29" s="11" t="str">
        <f>HYPERLINK("http://slimages.macys.com/is/image/MCY/12299677 ")</f>
        <v xml:space="preserve">http://slimages.macys.com/is/image/MCY/12299677 </v>
      </c>
    </row>
    <row r="30" spans="1:12" ht="39.950000000000003" customHeight="1" x14ac:dyDescent="0.25">
      <c r="A30" s="6" t="s">
        <v>996</v>
      </c>
      <c r="B30" s="7" t="s">
        <v>997</v>
      </c>
      <c r="C30" s="8">
        <v>1</v>
      </c>
      <c r="D30" s="9">
        <v>47.99</v>
      </c>
      <c r="E30" s="8" t="s">
        <v>998</v>
      </c>
      <c r="F30" s="7" t="s">
        <v>3481</v>
      </c>
      <c r="G30" s="10"/>
      <c r="H30" s="7" t="s">
        <v>3526</v>
      </c>
      <c r="I30" s="7" t="s">
        <v>4113</v>
      </c>
      <c r="J30" s="7" t="s">
        <v>3358</v>
      </c>
      <c r="K30" s="7" t="s">
        <v>999</v>
      </c>
      <c r="L30" s="11" t="str">
        <f>HYPERLINK("http://slimages.macys.com/is/image/MCY/10674415 ")</f>
        <v xml:space="preserve">http://slimages.macys.com/is/image/MCY/10674415 </v>
      </c>
    </row>
    <row r="31" spans="1:12" ht="39.950000000000003" customHeight="1" x14ac:dyDescent="0.25">
      <c r="A31" s="6" t="s">
        <v>1000</v>
      </c>
      <c r="B31" s="7" t="s">
        <v>1001</v>
      </c>
      <c r="C31" s="8">
        <v>1</v>
      </c>
      <c r="D31" s="9">
        <v>59.99</v>
      </c>
      <c r="E31" s="8">
        <v>82283</v>
      </c>
      <c r="F31" s="7" t="s">
        <v>3355</v>
      </c>
      <c r="G31" s="10"/>
      <c r="H31" s="7" t="s">
        <v>3412</v>
      </c>
      <c r="I31" s="7" t="s">
        <v>3595</v>
      </c>
      <c r="J31" s="7"/>
      <c r="K31" s="7"/>
      <c r="L31" s="11" t="str">
        <f>HYPERLINK("http://slimages.macys.com/is/image/MCY/17873992 ")</f>
        <v xml:space="preserve">http://slimages.macys.com/is/image/MCY/17873992 </v>
      </c>
    </row>
    <row r="32" spans="1:12" ht="39.950000000000003" customHeight="1" x14ac:dyDescent="0.25">
      <c r="A32" s="6" t="s">
        <v>1002</v>
      </c>
      <c r="B32" s="7" t="s">
        <v>1003</v>
      </c>
      <c r="C32" s="8">
        <v>1</v>
      </c>
      <c r="D32" s="9">
        <v>49.99</v>
      </c>
      <c r="E32" s="8">
        <v>21884322</v>
      </c>
      <c r="F32" s="7" t="s">
        <v>3477</v>
      </c>
      <c r="G32" s="10"/>
      <c r="H32" s="7" t="s">
        <v>3412</v>
      </c>
      <c r="I32" s="7" t="s">
        <v>3413</v>
      </c>
      <c r="J32" s="7" t="s">
        <v>3358</v>
      </c>
      <c r="K32" s="7" t="s">
        <v>3390</v>
      </c>
      <c r="L32" s="11" t="str">
        <f>HYPERLINK("http://slimages.macys.com/is/image/MCY/15785604 ")</f>
        <v xml:space="preserve">http://slimages.macys.com/is/image/MCY/15785604 </v>
      </c>
    </row>
    <row r="33" spans="1:12" ht="39.950000000000003" customHeight="1" x14ac:dyDescent="0.25">
      <c r="A33" s="6" t="s">
        <v>1004</v>
      </c>
      <c r="B33" s="7" t="s">
        <v>1005</v>
      </c>
      <c r="C33" s="8">
        <v>1</v>
      </c>
      <c r="D33" s="9">
        <v>80</v>
      </c>
      <c r="E33" s="8">
        <v>807000261895</v>
      </c>
      <c r="F33" s="7" t="s">
        <v>3384</v>
      </c>
      <c r="G33" s="10"/>
      <c r="H33" s="7" t="s">
        <v>3526</v>
      </c>
      <c r="I33" s="7" t="s">
        <v>1006</v>
      </c>
      <c r="J33" s="7" t="s">
        <v>1007</v>
      </c>
      <c r="K33" s="7" t="s">
        <v>3484</v>
      </c>
      <c r="L33" s="11" t="str">
        <f>HYPERLINK("http://images.bloomingdales.com/is/image/BLM/10972522 ")</f>
        <v xml:space="preserve">http://images.bloomingdales.com/is/image/BLM/10972522 </v>
      </c>
    </row>
    <row r="34" spans="1:12" ht="39.950000000000003" customHeight="1" x14ac:dyDescent="0.25">
      <c r="A34" s="6" t="s">
        <v>1008</v>
      </c>
      <c r="B34" s="7" t="s">
        <v>1009</v>
      </c>
      <c r="C34" s="8">
        <v>1</v>
      </c>
      <c r="D34" s="9">
        <v>49.99</v>
      </c>
      <c r="E34" s="8">
        <v>16718938</v>
      </c>
      <c r="F34" s="7" t="s">
        <v>2740</v>
      </c>
      <c r="G34" s="10"/>
      <c r="H34" s="7" t="s">
        <v>3397</v>
      </c>
      <c r="I34" s="7" t="s">
        <v>3565</v>
      </c>
      <c r="J34" s="7" t="s">
        <v>3358</v>
      </c>
      <c r="K34" s="7" t="s">
        <v>3582</v>
      </c>
      <c r="L34" s="11" t="str">
        <f>HYPERLINK("http://slimages.macys.com/is/image/MCY/3073694 ")</f>
        <v xml:space="preserve">http://slimages.macys.com/is/image/MCY/3073694 </v>
      </c>
    </row>
    <row r="35" spans="1:12" ht="39.950000000000003" customHeight="1" x14ac:dyDescent="0.25">
      <c r="A35" s="6" t="s">
        <v>1010</v>
      </c>
      <c r="B35" s="7" t="s">
        <v>1011</v>
      </c>
      <c r="C35" s="8">
        <v>1</v>
      </c>
      <c r="D35" s="9">
        <v>74.989999999999995</v>
      </c>
      <c r="E35" s="8" t="s">
        <v>1012</v>
      </c>
      <c r="F35" s="7" t="s">
        <v>3363</v>
      </c>
      <c r="G35" s="10" t="s">
        <v>3645</v>
      </c>
      <c r="H35" s="7" t="s">
        <v>3471</v>
      </c>
      <c r="I35" s="7" t="s">
        <v>3472</v>
      </c>
      <c r="J35" s="7" t="s">
        <v>3379</v>
      </c>
      <c r="K35" s="7" t="s">
        <v>3473</v>
      </c>
      <c r="L35" s="11" t="str">
        <f>HYPERLINK("http://slimages.macys.com/is/image/MCY/13368404 ")</f>
        <v xml:space="preserve">http://slimages.macys.com/is/image/MCY/13368404 </v>
      </c>
    </row>
    <row r="36" spans="1:12" ht="39.950000000000003" customHeight="1" x14ac:dyDescent="0.25">
      <c r="A36" s="6" t="s">
        <v>1013</v>
      </c>
      <c r="B36" s="7" t="s">
        <v>1014</v>
      </c>
      <c r="C36" s="8">
        <v>1</v>
      </c>
      <c r="D36" s="9">
        <v>45</v>
      </c>
      <c r="E36" s="8" t="s">
        <v>1015</v>
      </c>
      <c r="F36" s="7" t="s">
        <v>3617</v>
      </c>
      <c r="G36" s="10" t="s">
        <v>3774</v>
      </c>
      <c r="H36" s="7" t="s">
        <v>3372</v>
      </c>
      <c r="I36" s="7" t="s">
        <v>1016</v>
      </c>
      <c r="J36" s="7" t="s">
        <v>1623</v>
      </c>
      <c r="K36" s="7" t="s">
        <v>1017</v>
      </c>
      <c r="L36" s="11" t="str">
        <f>HYPERLINK("http://images.bloomingdales.com/is/image/BLM/8989074 ")</f>
        <v xml:space="preserve">http://images.bloomingdales.com/is/image/BLM/8989074 </v>
      </c>
    </row>
    <row r="37" spans="1:12" ht="39.950000000000003" customHeight="1" x14ac:dyDescent="0.25">
      <c r="A37" s="6" t="s">
        <v>1018</v>
      </c>
      <c r="B37" s="7" t="s">
        <v>1019</v>
      </c>
      <c r="C37" s="8">
        <v>1</v>
      </c>
      <c r="D37" s="9">
        <v>49.99</v>
      </c>
      <c r="E37" s="8" t="s">
        <v>1020</v>
      </c>
      <c r="F37" s="7" t="s">
        <v>3498</v>
      </c>
      <c r="G37" s="10"/>
      <c r="H37" s="7" t="s">
        <v>3408</v>
      </c>
      <c r="I37" s="7" t="s">
        <v>4354</v>
      </c>
      <c r="J37" s="7" t="s">
        <v>3358</v>
      </c>
      <c r="K37" s="7"/>
      <c r="L37" s="11" t="str">
        <f>HYPERLINK("http://slimages.macys.com/is/image/MCY/9940182 ")</f>
        <v xml:space="preserve">http://slimages.macys.com/is/image/MCY/9940182 </v>
      </c>
    </row>
    <row r="38" spans="1:12" ht="39.950000000000003" customHeight="1" x14ac:dyDescent="0.25">
      <c r="A38" s="6" t="s">
        <v>1021</v>
      </c>
      <c r="B38" s="7" t="s">
        <v>1022</v>
      </c>
      <c r="C38" s="8">
        <v>1</v>
      </c>
      <c r="D38" s="9">
        <v>53.99</v>
      </c>
      <c r="E38" s="8" t="s">
        <v>1023</v>
      </c>
      <c r="F38" s="7" t="s">
        <v>3706</v>
      </c>
      <c r="G38" s="10"/>
      <c r="H38" s="7" t="s">
        <v>3492</v>
      </c>
      <c r="I38" s="7" t="s">
        <v>3536</v>
      </c>
      <c r="J38" s="7" t="s">
        <v>3358</v>
      </c>
      <c r="K38" s="7" t="s">
        <v>3951</v>
      </c>
      <c r="L38" s="11" t="str">
        <f>HYPERLINK("http://slimages.macys.com/is/image/MCY/10034659 ")</f>
        <v xml:space="preserve">http://slimages.macys.com/is/image/MCY/10034659 </v>
      </c>
    </row>
    <row r="39" spans="1:12" ht="39.950000000000003" customHeight="1" x14ac:dyDescent="0.25">
      <c r="A39" s="6" t="s">
        <v>1024</v>
      </c>
      <c r="B39" s="7" t="s">
        <v>1025</v>
      </c>
      <c r="C39" s="8">
        <v>1</v>
      </c>
      <c r="D39" s="9">
        <v>55.99</v>
      </c>
      <c r="E39" s="8" t="s">
        <v>1026</v>
      </c>
      <c r="F39" s="7" t="s">
        <v>3363</v>
      </c>
      <c r="G39" s="10" t="s">
        <v>3663</v>
      </c>
      <c r="H39" s="7" t="s">
        <v>3388</v>
      </c>
      <c r="I39" s="7" t="s">
        <v>3461</v>
      </c>
      <c r="J39" s="7" t="s">
        <v>3358</v>
      </c>
      <c r="K39" s="7" t="s">
        <v>1027</v>
      </c>
      <c r="L39" s="11" t="str">
        <f>HYPERLINK("http://slimages.macys.com/is/image/MCY/11716824 ")</f>
        <v xml:space="preserve">http://slimages.macys.com/is/image/MCY/11716824 </v>
      </c>
    </row>
    <row r="40" spans="1:12" ht="39.950000000000003" customHeight="1" x14ac:dyDescent="0.25">
      <c r="A40" s="6" t="s">
        <v>1028</v>
      </c>
      <c r="B40" s="7" t="s">
        <v>1029</v>
      </c>
      <c r="C40" s="8">
        <v>1</v>
      </c>
      <c r="D40" s="9">
        <v>49.99</v>
      </c>
      <c r="E40" s="8" t="s">
        <v>1030</v>
      </c>
      <c r="F40" s="7" t="s">
        <v>3384</v>
      </c>
      <c r="G40" s="10"/>
      <c r="H40" s="7" t="s">
        <v>3526</v>
      </c>
      <c r="I40" s="7" t="s">
        <v>3865</v>
      </c>
      <c r="J40" s="7"/>
      <c r="K40" s="7"/>
      <c r="L40" s="11" t="str">
        <f>HYPERLINK("http://slimages.macys.com/is/image/MCY/17968749 ")</f>
        <v xml:space="preserve">http://slimages.macys.com/is/image/MCY/17968749 </v>
      </c>
    </row>
    <row r="41" spans="1:12" ht="39.950000000000003" customHeight="1" x14ac:dyDescent="0.25">
      <c r="A41" s="6" t="s">
        <v>1694</v>
      </c>
      <c r="B41" s="7" t="s">
        <v>1695</v>
      </c>
      <c r="C41" s="8">
        <v>1</v>
      </c>
      <c r="D41" s="9">
        <v>50</v>
      </c>
      <c r="E41" s="8">
        <v>21412</v>
      </c>
      <c r="F41" s="7" t="s">
        <v>3525</v>
      </c>
      <c r="G41" s="10" t="s">
        <v>3504</v>
      </c>
      <c r="H41" s="7" t="s">
        <v>4165</v>
      </c>
      <c r="I41" s="7" t="s">
        <v>1430</v>
      </c>
      <c r="J41" s="7" t="s">
        <v>3358</v>
      </c>
      <c r="K41" s="7"/>
      <c r="L41" s="11" t="str">
        <f>HYPERLINK("http://images.bloomingdales.com/is/image/BLM/8140411 ")</f>
        <v xml:space="preserve">http://images.bloomingdales.com/is/image/BLM/8140411 </v>
      </c>
    </row>
    <row r="42" spans="1:12" ht="39.950000000000003" customHeight="1" x14ac:dyDescent="0.25">
      <c r="A42" s="6" t="s">
        <v>1031</v>
      </c>
      <c r="B42" s="7" t="s">
        <v>1032</v>
      </c>
      <c r="C42" s="8">
        <v>1</v>
      </c>
      <c r="D42" s="9">
        <v>49.99</v>
      </c>
      <c r="E42" s="8">
        <v>19572029</v>
      </c>
      <c r="F42" s="7" t="s">
        <v>3477</v>
      </c>
      <c r="G42" s="10"/>
      <c r="H42" s="7" t="s">
        <v>3412</v>
      </c>
      <c r="I42" s="7" t="s">
        <v>3413</v>
      </c>
      <c r="J42" s="7" t="s">
        <v>3751</v>
      </c>
      <c r="K42" s="7" t="s">
        <v>4098</v>
      </c>
      <c r="L42" s="11" t="str">
        <f>HYPERLINK("http://slimages.macys.com/is/image/MCY/10622355 ")</f>
        <v xml:space="preserve">http://slimages.macys.com/is/image/MCY/10622355 </v>
      </c>
    </row>
    <row r="43" spans="1:12" ht="39.950000000000003" customHeight="1" x14ac:dyDescent="0.25">
      <c r="A43" s="6" t="s">
        <v>1033</v>
      </c>
      <c r="B43" s="7" t="s">
        <v>1034</v>
      </c>
      <c r="C43" s="8">
        <v>1</v>
      </c>
      <c r="D43" s="9">
        <v>49.99</v>
      </c>
      <c r="E43" s="8" t="s">
        <v>1035</v>
      </c>
      <c r="F43" s="7" t="s">
        <v>3992</v>
      </c>
      <c r="G43" s="10" t="s">
        <v>1510</v>
      </c>
      <c r="H43" s="7" t="s">
        <v>3482</v>
      </c>
      <c r="I43" s="7" t="s">
        <v>3618</v>
      </c>
      <c r="J43" s="7" t="s">
        <v>3358</v>
      </c>
      <c r="K43" s="7" t="s">
        <v>1543</v>
      </c>
      <c r="L43" s="11" t="str">
        <f>HYPERLINK("http://slimages.macys.com/is/image/MCY/13285480 ")</f>
        <v xml:space="preserve">http://slimages.macys.com/is/image/MCY/13285480 </v>
      </c>
    </row>
    <row r="44" spans="1:12" ht="39.950000000000003" customHeight="1" x14ac:dyDescent="0.25">
      <c r="A44" s="6" t="s">
        <v>2163</v>
      </c>
      <c r="B44" s="7" t="s">
        <v>2164</v>
      </c>
      <c r="C44" s="8">
        <v>1</v>
      </c>
      <c r="D44" s="9">
        <v>48.99</v>
      </c>
      <c r="E44" s="8" t="s">
        <v>2165</v>
      </c>
      <c r="F44" s="7"/>
      <c r="G44" s="10"/>
      <c r="H44" s="7" t="s">
        <v>3412</v>
      </c>
      <c r="I44" s="7" t="s">
        <v>3707</v>
      </c>
      <c r="J44" s="7" t="s">
        <v>3358</v>
      </c>
      <c r="K44" s="7" t="s">
        <v>3951</v>
      </c>
      <c r="L44" s="11" t="str">
        <f>HYPERLINK("http://slimages.macys.com/is/image/MCY/10974209 ")</f>
        <v xml:space="preserve">http://slimages.macys.com/is/image/MCY/10974209 </v>
      </c>
    </row>
    <row r="45" spans="1:12" ht="39.950000000000003" customHeight="1" x14ac:dyDescent="0.25">
      <c r="A45" s="6" t="s">
        <v>1036</v>
      </c>
      <c r="B45" s="7" t="s">
        <v>1037</v>
      </c>
      <c r="C45" s="8">
        <v>1</v>
      </c>
      <c r="D45" s="9">
        <v>150</v>
      </c>
      <c r="E45" s="8" t="s">
        <v>1038</v>
      </c>
      <c r="F45" s="7"/>
      <c r="G45" s="10" t="s">
        <v>1039</v>
      </c>
      <c r="H45" s="7" t="s">
        <v>3454</v>
      </c>
      <c r="I45" s="7" t="s">
        <v>1040</v>
      </c>
      <c r="J45" s="7" t="s">
        <v>3751</v>
      </c>
      <c r="K45" s="7" t="s">
        <v>3390</v>
      </c>
      <c r="L45" s="11" t="str">
        <f>HYPERLINK("http://images.bloomingdales.com/is/image/BLM/11103520 ")</f>
        <v xml:space="preserve">http://images.bloomingdales.com/is/image/BLM/11103520 </v>
      </c>
    </row>
    <row r="46" spans="1:12" ht="39.950000000000003" customHeight="1" x14ac:dyDescent="0.25">
      <c r="A46" s="6" t="s">
        <v>3485</v>
      </c>
      <c r="B46" s="7" t="s">
        <v>3486</v>
      </c>
      <c r="C46" s="8">
        <v>1</v>
      </c>
      <c r="D46" s="9">
        <v>49.99</v>
      </c>
      <c r="E46" s="8" t="s">
        <v>3487</v>
      </c>
      <c r="F46" s="7" t="s">
        <v>3363</v>
      </c>
      <c r="G46" s="10"/>
      <c r="H46" s="7" t="s">
        <v>3471</v>
      </c>
      <c r="I46" s="7" t="s">
        <v>3472</v>
      </c>
      <c r="J46" s="7" t="s">
        <v>3379</v>
      </c>
      <c r="K46" s="7" t="s">
        <v>3473</v>
      </c>
      <c r="L46" s="11" t="str">
        <f>HYPERLINK("http://slimages.macys.com/is/image/MCY/13368404 ")</f>
        <v xml:space="preserve">http://slimages.macys.com/is/image/MCY/13368404 </v>
      </c>
    </row>
    <row r="47" spans="1:12" ht="39.950000000000003" customHeight="1" x14ac:dyDescent="0.25">
      <c r="A47" s="6" t="s">
        <v>1041</v>
      </c>
      <c r="B47" s="7" t="s">
        <v>1412</v>
      </c>
      <c r="C47" s="8">
        <v>1</v>
      </c>
      <c r="D47" s="9">
        <v>90</v>
      </c>
      <c r="E47" s="8" t="s">
        <v>1042</v>
      </c>
      <c r="F47" s="7" t="s">
        <v>3363</v>
      </c>
      <c r="G47" s="10"/>
      <c r="H47" s="7" t="s">
        <v>3365</v>
      </c>
      <c r="I47" s="7" t="s">
        <v>3855</v>
      </c>
      <c r="J47" s="7" t="s">
        <v>3751</v>
      </c>
      <c r="K47" s="7" t="s">
        <v>701</v>
      </c>
      <c r="L47" s="11" t="str">
        <f>HYPERLINK("http://images.bloomingdales.com/is/image/BLM/8987300 ")</f>
        <v xml:space="preserve">http://images.bloomingdales.com/is/image/BLM/8987300 </v>
      </c>
    </row>
    <row r="48" spans="1:12" ht="39.950000000000003" customHeight="1" x14ac:dyDescent="0.25">
      <c r="A48" s="6" t="s">
        <v>1043</v>
      </c>
      <c r="B48" s="7" t="s">
        <v>1044</v>
      </c>
      <c r="C48" s="8">
        <v>1</v>
      </c>
      <c r="D48" s="9">
        <v>32.99</v>
      </c>
      <c r="E48" s="8" t="s">
        <v>1045</v>
      </c>
      <c r="F48" s="7" t="s">
        <v>4021</v>
      </c>
      <c r="G48" s="10"/>
      <c r="H48" s="7" t="s">
        <v>3515</v>
      </c>
      <c r="I48" s="7" t="s">
        <v>3436</v>
      </c>
      <c r="J48" s="7" t="s">
        <v>3358</v>
      </c>
      <c r="K48" s="7"/>
      <c r="L48" s="11" t="str">
        <f>HYPERLINK("http://slimages.macys.com/is/image/MCY/15650113 ")</f>
        <v xml:space="preserve">http://slimages.macys.com/is/image/MCY/15650113 </v>
      </c>
    </row>
    <row r="49" spans="1:12" ht="39.950000000000003" customHeight="1" x14ac:dyDescent="0.25">
      <c r="A49" s="6" t="s">
        <v>1046</v>
      </c>
      <c r="B49" s="7" t="s">
        <v>1047</v>
      </c>
      <c r="C49" s="8">
        <v>1</v>
      </c>
      <c r="D49" s="9">
        <v>24.99</v>
      </c>
      <c r="E49" s="8" t="s">
        <v>1048</v>
      </c>
      <c r="F49" s="7" t="s">
        <v>3452</v>
      </c>
      <c r="G49" s="10" t="s">
        <v>3453</v>
      </c>
      <c r="H49" s="7" t="s">
        <v>3492</v>
      </c>
      <c r="I49" s="7" t="s">
        <v>3436</v>
      </c>
      <c r="J49" s="7" t="s">
        <v>3358</v>
      </c>
      <c r="K49" s="7" t="s">
        <v>1049</v>
      </c>
      <c r="L49" s="11" t="str">
        <f>HYPERLINK("http://slimages.macys.com/is/image/MCY/15494803 ")</f>
        <v xml:space="preserve">http://slimages.macys.com/is/image/MCY/15494803 </v>
      </c>
    </row>
    <row r="50" spans="1:12" ht="39.950000000000003" customHeight="1" x14ac:dyDescent="0.25">
      <c r="A50" s="6" t="s">
        <v>1050</v>
      </c>
      <c r="B50" s="7" t="s">
        <v>1051</v>
      </c>
      <c r="C50" s="8">
        <v>1</v>
      </c>
      <c r="D50" s="9">
        <v>29.99</v>
      </c>
      <c r="E50" s="8" t="s">
        <v>1052</v>
      </c>
      <c r="F50" s="7" t="s">
        <v>3542</v>
      </c>
      <c r="G50" s="10" t="s">
        <v>3663</v>
      </c>
      <c r="H50" s="7" t="s">
        <v>3471</v>
      </c>
      <c r="I50" s="7" t="s">
        <v>3761</v>
      </c>
      <c r="J50" s="7" t="s">
        <v>3751</v>
      </c>
      <c r="K50" s="7"/>
      <c r="L50" s="11" t="str">
        <f>HYPERLINK("http://slimages.macys.com/is/image/MCY/9526176 ")</f>
        <v xml:space="preserve">http://slimages.macys.com/is/image/MCY/9526176 </v>
      </c>
    </row>
    <row r="51" spans="1:12" ht="39.950000000000003" customHeight="1" x14ac:dyDescent="0.25">
      <c r="A51" s="6" t="s">
        <v>1053</v>
      </c>
      <c r="B51" s="7" t="s">
        <v>1054</v>
      </c>
      <c r="C51" s="8">
        <v>1</v>
      </c>
      <c r="D51" s="9">
        <v>24.99</v>
      </c>
      <c r="E51" s="8" t="s">
        <v>1055</v>
      </c>
      <c r="F51" s="7" t="s">
        <v>4049</v>
      </c>
      <c r="G51" s="10"/>
      <c r="H51" s="7" t="s">
        <v>3356</v>
      </c>
      <c r="I51" s="7" t="s">
        <v>3651</v>
      </c>
      <c r="J51" s="7" t="s">
        <v>3358</v>
      </c>
      <c r="K51" s="7" t="s">
        <v>3390</v>
      </c>
      <c r="L51" s="11" t="str">
        <f>HYPERLINK("http://slimages.macys.com/is/image/MCY/2861128 ")</f>
        <v xml:space="preserve">http://slimages.macys.com/is/image/MCY/2861128 </v>
      </c>
    </row>
    <row r="52" spans="1:12" ht="39.950000000000003" customHeight="1" x14ac:dyDescent="0.25">
      <c r="A52" s="6" t="s">
        <v>1056</v>
      </c>
      <c r="B52" s="7" t="s">
        <v>1057</v>
      </c>
      <c r="C52" s="8">
        <v>1</v>
      </c>
      <c r="D52" s="9">
        <v>19.989999999999998</v>
      </c>
      <c r="E52" s="8" t="s">
        <v>1058</v>
      </c>
      <c r="F52" s="7" t="s">
        <v>3384</v>
      </c>
      <c r="G52" s="10" t="s">
        <v>3947</v>
      </c>
      <c r="H52" s="7" t="s">
        <v>3492</v>
      </c>
      <c r="I52" s="7" t="s">
        <v>3436</v>
      </c>
      <c r="J52" s="7" t="s">
        <v>3358</v>
      </c>
      <c r="K52" s="7" t="s">
        <v>3359</v>
      </c>
      <c r="L52" s="11" t="str">
        <f>HYPERLINK("http://slimages.macys.com/is/image/MCY/9602450 ")</f>
        <v xml:space="preserve">http://slimages.macys.com/is/image/MCY/9602450 </v>
      </c>
    </row>
    <row r="53" spans="1:12" ht="39.950000000000003" customHeight="1" x14ac:dyDescent="0.25">
      <c r="A53" s="6" t="s">
        <v>3970</v>
      </c>
      <c r="B53" s="7" t="s">
        <v>3971</v>
      </c>
      <c r="C53" s="8">
        <v>2</v>
      </c>
      <c r="D53" s="9">
        <v>170</v>
      </c>
      <c r="E53" s="8" t="s">
        <v>3972</v>
      </c>
      <c r="F53" s="7" t="s">
        <v>3363</v>
      </c>
      <c r="G53" s="10"/>
      <c r="H53" s="7" t="s">
        <v>3365</v>
      </c>
      <c r="I53" s="7" t="s">
        <v>3973</v>
      </c>
      <c r="J53" s="7" t="s">
        <v>3751</v>
      </c>
      <c r="K53" s="7" t="s">
        <v>3974</v>
      </c>
      <c r="L53" s="11" t="str">
        <f>HYPERLINK("http://images.bloomingdales.com/is/image/BLM/9119230 ")</f>
        <v xml:space="preserve">http://images.bloomingdales.com/is/image/BLM/9119230 </v>
      </c>
    </row>
    <row r="54" spans="1:12" ht="39.950000000000003" customHeight="1" x14ac:dyDescent="0.25">
      <c r="A54" s="6" t="s">
        <v>1059</v>
      </c>
      <c r="B54" s="7" t="s">
        <v>1060</v>
      </c>
      <c r="C54" s="8">
        <v>1</v>
      </c>
      <c r="D54" s="9">
        <v>35.99</v>
      </c>
      <c r="E54" s="8" t="s">
        <v>1061</v>
      </c>
      <c r="F54" s="7" t="s">
        <v>3542</v>
      </c>
      <c r="G54" s="10" t="s">
        <v>3690</v>
      </c>
      <c r="H54" s="7" t="s">
        <v>3471</v>
      </c>
      <c r="I54" s="7" t="s">
        <v>3761</v>
      </c>
      <c r="J54" s="7" t="s">
        <v>3751</v>
      </c>
      <c r="K54" s="7"/>
      <c r="L54" s="11" t="str">
        <f>HYPERLINK("http://slimages.macys.com/is/image/MCY/9406085 ")</f>
        <v xml:space="preserve">http://slimages.macys.com/is/image/MCY/9406085 </v>
      </c>
    </row>
    <row r="55" spans="1:12" ht="39.950000000000003" customHeight="1" x14ac:dyDescent="0.25">
      <c r="A55" s="6" t="s">
        <v>1062</v>
      </c>
      <c r="B55" s="7" t="s">
        <v>1063</v>
      </c>
      <c r="C55" s="8">
        <v>1</v>
      </c>
      <c r="D55" s="9">
        <v>16</v>
      </c>
      <c r="E55" s="8">
        <v>90408</v>
      </c>
      <c r="F55" s="7" t="s">
        <v>3384</v>
      </c>
      <c r="G55" s="10" t="s">
        <v>3504</v>
      </c>
      <c r="H55" s="7" t="s">
        <v>3412</v>
      </c>
      <c r="I55" s="7" t="s">
        <v>1064</v>
      </c>
      <c r="J55" s="7" t="s">
        <v>3358</v>
      </c>
      <c r="K55" s="7" t="s">
        <v>1065</v>
      </c>
      <c r="L55" s="11" t="str">
        <f>HYPERLINK("http://slimages.macys.com/is/image/MCY/13916801 ")</f>
        <v xml:space="preserve">http://slimages.macys.com/is/image/MCY/13916801 </v>
      </c>
    </row>
    <row r="56" spans="1:12" ht="39.950000000000003" customHeight="1" x14ac:dyDescent="0.25">
      <c r="A56" s="6" t="s">
        <v>1066</v>
      </c>
      <c r="B56" s="7" t="s">
        <v>1067</v>
      </c>
      <c r="C56" s="8">
        <v>2</v>
      </c>
      <c r="D56" s="9">
        <v>29.98</v>
      </c>
      <c r="E56" s="8">
        <v>46001</v>
      </c>
      <c r="F56" s="7" t="s">
        <v>3531</v>
      </c>
      <c r="G56" s="10"/>
      <c r="H56" s="7" t="s">
        <v>3492</v>
      </c>
      <c r="I56" s="7" t="s">
        <v>3636</v>
      </c>
      <c r="J56" s="7" t="s">
        <v>3358</v>
      </c>
      <c r="K56" s="7"/>
      <c r="L56" s="11" t="str">
        <f>HYPERLINK("http://slimages.macys.com/is/image/MCY/8759720 ")</f>
        <v xml:space="preserve">http://slimages.macys.com/is/image/MCY/8759720 </v>
      </c>
    </row>
    <row r="57" spans="1:12" ht="39.950000000000003" customHeight="1" x14ac:dyDescent="0.25">
      <c r="A57" s="6" t="s">
        <v>1068</v>
      </c>
      <c r="B57" s="7" t="s">
        <v>1069</v>
      </c>
      <c r="C57" s="8">
        <v>1</v>
      </c>
      <c r="D57" s="9">
        <v>29.99</v>
      </c>
      <c r="E57" s="8" t="s">
        <v>1070</v>
      </c>
      <c r="F57" s="7" t="s">
        <v>3542</v>
      </c>
      <c r="G57" s="10" t="s">
        <v>3760</v>
      </c>
      <c r="H57" s="7" t="s">
        <v>3471</v>
      </c>
      <c r="I57" s="7" t="s">
        <v>3761</v>
      </c>
      <c r="J57" s="7" t="s">
        <v>3751</v>
      </c>
      <c r="K57" s="7"/>
      <c r="L57" s="11" t="str">
        <f>HYPERLINK("http://slimages.macys.com/is/image/MCY/9406085 ")</f>
        <v xml:space="preserve">http://slimages.macys.com/is/image/MCY/9406085 </v>
      </c>
    </row>
    <row r="58" spans="1:12" ht="39.950000000000003" customHeight="1" x14ac:dyDescent="0.25">
      <c r="A58" s="6" t="s">
        <v>1071</v>
      </c>
      <c r="B58" s="7" t="s">
        <v>1072</v>
      </c>
      <c r="C58" s="8">
        <v>1</v>
      </c>
      <c r="D58" s="9">
        <v>12.99</v>
      </c>
      <c r="E58" s="8" t="s">
        <v>1073</v>
      </c>
      <c r="F58" s="7" t="s">
        <v>3542</v>
      </c>
      <c r="G58" s="10"/>
      <c r="H58" s="7" t="s">
        <v>3471</v>
      </c>
      <c r="I58" s="7" t="s">
        <v>3761</v>
      </c>
      <c r="J58" s="7" t="s">
        <v>3751</v>
      </c>
      <c r="K58" s="7" t="s">
        <v>539</v>
      </c>
      <c r="L58" s="11" t="str">
        <f>HYPERLINK("http://slimages.macys.com/is/image/MCY/2831820 ")</f>
        <v xml:space="preserve">http://slimages.macys.com/is/image/MCY/2831820 </v>
      </c>
    </row>
    <row r="59" spans="1:12" ht="39.950000000000003" customHeight="1" x14ac:dyDescent="0.25">
      <c r="A59" s="6" t="s">
        <v>661</v>
      </c>
      <c r="B59" s="7" t="s">
        <v>662</v>
      </c>
      <c r="C59" s="8">
        <v>1</v>
      </c>
      <c r="D59" s="9">
        <v>13.99</v>
      </c>
      <c r="E59" s="8" t="s">
        <v>663</v>
      </c>
      <c r="F59" s="7" t="s">
        <v>3498</v>
      </c>
      <c r="G59" s="10" t="s">
        <v>551</v>
      </c>
      <c r="H59" s="7" t="s">
        <v>3388</v>
      </c>
      <c r="I59" s="7" t="s">
        <v>2964</v>
      </c>
      <c r="J59" s="7"/>
      <c r="K59" s="7"/>
      <c r="L59" s="11" t="str">
        <f>HYPERLINK("http://slimages.macys.com/is/image/MCY/17899743 ")</f>
        <v xml:space="preserve">http://slimages.macys.com/is/image/MCY/17899743 </v>
      </c>
    </row>
    <row r="60" spans="1:12" ht="39.950000000000003" customHeight="1" x14ac:dyDescent="0.25">
      <c r="A60" s="6" t="s">
        <v>1074</v>
      </c>
      <c r="B60" s="7" t="s">
        <v>1075</v>
      </c>
      <c r="C60" s="8">
        <v>1</v>
      </c>
      <c r="D60" s="9">
        <v>11.99</v>
      </c>
      <c r="E60" s="8" t="s">
        <v>1076</v>
      </c>
      <c r="F60" s="7" t="s">
        <v>3363</v>
      </c>
      <c r="G60" s="10"/>
      <c r="H60" s="7" t="s">
        <v>3515</v>
      </c>
      <c r="I60" s="7" t="s">
        <v>1990</v>
      </c>
      <c r="J60" s="7" t="s">
        <v>3358</v>
      </c>
      <c r="K60" s="7" t="s">
        <v>1077</v>
      </c>
      <c r="L60" s="11" t="str">
        <f>HYPERLINK("http://slimages.macys.com/is/image/MCY/13971502 ")</f>
        <v xml:space="preserve">http://slimages.macys.com/is/image/MCY/13971502 </v>
      </c>
    </row>
    <row r="61" spans="1:12" ht="39.950000000000003" customHeight="1" x14ac:dyDescent="0.25">
      <c r="A61" s="6" t="s">
        <v>1078</v>
      </c>
      <c r="B61" s="7" t="s">
        <v>1079</v>
      </c>
      <c r="C61" s="8">
        <v>1</v>
      </c>
      <c r="D61" s="9">
        <v>11.99</v>
      </c>
      <c r="E61" s="8" t="s">
        <v>1080</v>
      </c>
      <c r="F61" s="7" t="s">
        <v>3371</v>
      </c>
      <c r="G61" s="10"/>
      <c r="H61" s="7" t="s">
        <v>3515</v>
      </c>
      <c r="I61" s="7" t="s">
        <v>1990</v>
      </c>
      <c r="J61" s="7" t="s">
        <v>3358</v>
      </c>
      <c r="K61" s="7" t="s">
        <v>1077</v>
      </c>
      <c r="L61" s="11" t="str">
        <f>HYPERLINK("http://slimages.macys.com/is/image/MCY/13971525 ")</f>
        <v xml:space="preserve">http://slimages.macys.com/is/image/MCY/13971525 </v>
      </c>
    </row>
    <row r="62" spans="1:12" ht="39.950000000000003" customHeight="1" x14ac:dyDescent="0.25">
      <c r="A62" s="6" t="s">
        <v>1081</v>
      </c>
      <c r="B62" s="7" t="s">
        <v>1082</v>
      </c>
      <c r="C62" s="8">
        <v>1</v>
      </c>
      <c r="D62" s="9">
        <v>19.989999999999998</v>
      </c>
      <c r="E62" s="8" t="s">
        <v>1083</v>
      </c>
      <c r="F62" s="7" t="s">
        <v>3363</v>
      </c>
      <c r="G62" s="10"/>
      <c r="H62" s="7" t="s">
        <v>4165</v>
      </c>
      <c r="I62" s="7" t="s">
        <v>1084</v>
      </c>
      <c r="J62" s="7" t="s">
        <v>3358</v>
      </c>
      <c r="K62" s="7" t="s">
        <v>1085</v>
      </c>
      <c r="L62" s="11" t="str">
        <f>HYPERLINK("http://slimages.macys.com/is/image/MCY/8151499 ")</f>
        <v xml:space="preserve">http://slimages.macys.com/is/image/MCY/8151499 </v>
      </c>
    </row>
    <row r="63" spans="1:12" ht="39.950000000000003" customHeight="1" x14ac:dyDescent="0.25">
      <c r="A63" s="6" t="s">
        <v>536</v>
      </c>
      <c r="B63" s="7" t="s">
        <v>537</v>
      </c>
      <c r="C63" s="8">
        <v>2</v>
      </c>
      <c r="D63" s="9">
        <v>19.98</v>
      </c>
      <c r="E63" s="8" t="s">
        <v>538</v>
      </c>
      <c r="F63" s="7" t="s">
        <v>3542</v>
      </c>
      <c r="G63" s="10"/>
      <c r="H63" s="7" t="s">
        <v>3471</v>
      </c>
      <c r="I63" s="7" t="s">
        <v>3761</v>
      </c>
      <c r="J63" s="7" t="s">
        <v>3751</v>
      </c>
      <c r="K63" s="7" t="s">
        <v>539</v>
      </c>
      <c r="L63" s="11" t="str">
        <f>HYPERLINK("http://slimages.macys.com/is/image/MCY/2831820 ")</f>
        <v xml:space="preserve">http://slimages.macys.com/is/image/MCY/2831820 </v>
      </c>
    </row>
    <row r="64" spans="1:12" ht="39.950000000000003" customHeight="1" x14ac:dyDescent="0.25">
      <c r="A64" s="6" t="s">
        <v>1086</v>
      </c>
      <c r="B64" s="7" t="s">
        <v>1087</v>
      </c>
      <c r="C64" s="8">
        <v>2</v>
      </c>
      <c r="D64" s="9">
        <v>19.98</v>
      </c>
      <c r="E64" s="8">
        <v>19891</v>
      </c>
      <c r="F64" s="7" t="s">
        <v>3363</v>
      </c>
      <c r="G64" s="10"/>
      <c r="H64" s="7" t="s">
        <v>3492</v>
      </c>
      <c r="I64" s="7" t="s">
        <v>3636</v>
      </c>
      <c r="J64" s="7" t="s">
        <v>3358</v>
      </c>
      <c r="K64" s="7"/>
      <c r="L64" s="11" t="str">
        <f>HYPERLINK("http://slimages.macys.com/is/image/MCY/16270371 ")</f>
        <v xml:space="preserve">http://slimages.macys.com/is/image/MCY/16270371 </v>
      </c>
    </row>
    <row r="65" spans="1:12" ht="39.950000000000003" customHeight="1" x14ac:dyDescent="0.25">
      <c r="A65" s="6" t="s">
        <v>1088</v>
      </c>
      <c r="B65" s="7" t="s">
        <v>1089</v>
      </c>
      <c r="C65" s="8">
        <v>4</v>
      </c>
      <c r="D65" s="9">
        <v>15.96</v>
      </c>
      <c r="E65" s="8" t="s">
        <v>1090</v>
      </c>
      <c r="F65" s="7" t="s">
        <v>3490</v>
      </c>
      <c r="G65" s="10" t="s">
        <v>3532</v>
      </c>
      <c r="H65" s="7" t="s">
        <v>3372</v>
      </c>
      <c r="I65" s="7" t="s">
        <v>3413</v>
      </c>
      <c r="J65" s="7" t="s">
        <v>3358</v>
      </c>
      <c r="K65" s="7"/>
      <c r="L65" s="11" t="str">
        <f>HYPERLINK("http://slimages.macys.com/is/image/MCY/13909845 ")</f>
        <v xml:space="preserve">http://slimages.macys.com/is/image/MCY/13909845 </v>
      </c>
    </row>
    <row r="66" spans="1:12" ht="39.950000000000003" customHeight="1" x14ac:dyDescent="0.25">
      <c r="A66" s="6" t="s">
        <v>1091</v>
      </c>
      <c r="B66" s="7" t="s">
        <v>1092</v>
      </c>
      <c r="C66" s="8">
        <v>1</v>
      </c>
      <c r="D66" s="9">
        <v>2.99</v>
      </c>
      <c r="E66" s="8" t="s">
        <v>1093</v>
      </c>
      <c r="F66" s="7" t="s">
        <v>3525</v>
      </c>
      <c r="G66" s="10" t="s">
        <v>3774</v>
      </c>
      <c r="H66" s="7" t="s">
        <v>3372</v>
      </c>
      <c r="I66" s="7" t="s">
        <v>3413</v>
      </c>
      <c r="J66" s="7" t="s">
        <v>3358</v>
      </c>
      <c r="K66" s="7"/>
      <c r="L66" s="11" t="str">
        <f>HYPERLINK("http://slimages.macys.com/is/image/MCY/13909832 ")</f>
        <v xml:space="preserve">http://slimages.macys.com/is/image/MCY/13909832 </v>
      </c>
    </row>
    <row r="67" spans="1:12" ht="39.950000000000003" customHeight="1" x14ac:dyDescent="0.25">
      <c r="A67" s="6" t="s">
        <v>1094</v>
      </c>
      <c r="B67" s="7" t="s">
        <v>1095</v>
      </c>
      <c r="C67" s="8">
        <v>1</v>
      </c>
      <c r="D67" s="9">
        <v>1.99</v>
      </c>
      <c r="E67" s="8" t="s">
        <v>1096</v>
      </c>
      <c r="F67" s="7" t="s">
        <v>3490</v>
      </c>
      <c r="G67" s="10" t="s">
        <v>4192</v>
      </c>
      <c r="H67" s="7" t="s">
        <v>3372</v>
      </c>
      <c r="I67" s="7" t="s">
        <v>3413</v>
      </c>
      <c r="J67" s="7" t="s">
        <v>3358</v>
      </c>
      <c r="K67" s="7"/>
      <c r="L67" s="11" t="str">
        <f>HYPERLINK("http://slimages.macys.com/is/image/MCY/13909776 ")</f>
        <v xml:space="preserve">http://slimages.macys.com/is/image/MCY/13909776 </v>
      </c>
    </row>
    <row r="68" spans="1:12" ht="39.950000000000003" customHeight="1" x14ac:dyDescent="0.25">
      <c r="A68" s="6" t="s">
        <v>2597</v>
      </c>
      <c r="B68" s="7" t="s">
        <v>2598</v>
      </c>
      <c r="C68" s="8">
        <v>2</v>
      </c>
      <c r="D68" s="9">
        <v>165</v>
      </c>
      <c r="E68" s="8"/>
      <c r="F68" s="7" t="s">
        <v>3542</v>
      </c>
      <c r="G68" s="10" t="s">
        <v>3504</v>
      </c>
      <c r="H68" s="7" t="s">
        <v>3543</v>
      </c>
      <c r="I68" s="7" t="s">
        <v>3544</v>
      </c>
      <c r="J68" s="7"/>
      <c r="K68" s="7"/>
      <c r="L68" s="11"/>
    </row>
    <row r="69" spans="1:12" ht="39.950000000000003" customHeight="1" x14ac:dyDescent="0.25">
      <c r="A69" s="6" t="s">
        <v>3540</v>
      </c>
      <c r="B69" s="7" t="s">
        <v>3541</v>
      </c>
      <c r="C69" s="8">
        <v>1</v>
      </c>
      <c r="D69" s="9">
        <v>40</v>
      </c>
      <c r="E69" s="8"/>
      <c r="F69" s="7" t="s">
        <v>3542</v>
      </c>
      <c r="G69" s="10" t="s">
        <v>3504</v>
      </c>
      <c r="H69" s="7" t="s">
        <v>3543</v>
      </c>
      <c r="I69" s="7" t="s">
        <v>3544</v>
      </c>
      <c r="J69" s="7"/>
      <c r="K69" s="7"/>
      <c r="L69" s="11"/>
    </row>
    <row r="70" spans="1:12" ht="39.950000000000003" customHeight="1" x14ac:dyDescent="0.25">
      <c r="A70" s="6" t="s">
        <v>1097</v>
      </c>
      <c r="B70" s="7" t="s">
        <v>1098</v>
      </c>
      <c r="C70" s="8">
        <v>1</v>
      </c>
      <c r="D70" s="9">
        <v>19.989999999999998</v>
      </c>
      <c r="E70" s="8" t="s">
        <v>1099</v>
      </c>
      <c r="F70" s="7" t="s">
        <v>3363</v>
      </c>
      <c r="G70" s="10" t="s">
        <v>3760</v>
      </c>
      <c r="H70" s="7" t="s">
        <v>3471</v>
      </c>
      <c r="I70" s="7" t="s">
        <v>2549</v>
      </c>
      <c r="J70" s="7"/>
      <c r="K70" s="7"/>
      <c r="L70" s="11"/>
    </row>
  </sheetData>
  <phoneticPr fontId="0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1100</v>
      </c>
      <c r="B2" s="7" t="s">
        <v>1101</v>
      </c>
      <c r="C2" s="8">
        <v>1</v>
      </c>
      <c r="D2" s="9">
        <v>295</v>
      </c>
      <c r="E2" s="8" t="s">
        <v>1102</v>
      </c>
      <c r="F2" s="7" t="s">
        <v>3363</v>
      </c>
      <c r="G2" s="10" t="s">
        <v>3645</v>
      </c>
      <c r="H2" s="7" t="s">
        <v>3471</v>
      </c>
      <c r="I2" s="7" t="s">
        <v>1103</v>
      </c>
      <c r="J2" s="7" t="s">
        <v>1104</v>
      </c>
      <c r="K2" s="7" t="s">
        <v>1105</v>
      </c>
      <c r="L2" s="11" t="str">
        <f>HYPERLINK("http://images.bloomingdales.com/is/image/BLM/9359241 ")</f>
        <v xml:space="preserve">http://images.bloomingdales.com/is/image/BLM/9359241 </v>
      </c>
    </row>
    <row r="3" spans="1:12" ht="39.950000000000003" customHeight="1" x14ac:dyDescent="0.25">
      <c r="A3" s="6" t="s">
        <v>1106</v>
      </c>
      <c r="B3" s="7" t="s">
        <v>1107</v>
      </c>
      <c r="C3" s="8">
        <v>1</v>
      </c>
      <c r="D3" s="9">
        <v>239.99</v>
      </c>
      <c r="E3" s="8" t="s">
        <v>1108</v>
      </c>
      <c r="F3" s="7" t="s">
        <v>3481</v>
      </c>
      <c r="G3" s="10"/>
      <c r="H3" s="7" t="s">
        <v>3356</v>
      </c>
      <c r="I3" s="7" t="s">
        <v>3357</v>
      </c>
      <c r="J3" s="7" t="s">
        <v>3358</v>
      </c>
      <c r="K3" s="7" t="s">
        <v>3359</v>
      </c>
      <c r="L3" s="11" t="str">
        <f>HYPERLINK("http://slimages.macys.com/is/image/MCY/8061723 ")</f>
        <v xml:space="preserve">http://slimages.macys.com/is/image/MCY/8061723 </v>
      </c>
    </row>
    <row r="4" spans="1:12" ht="39.950000000000003" customHeight="1" x14ac:dyDescent="0.25">
      <c r="A4" s="6" t="s">
        <v>1109</v>
      </c>
      <c r="B4" s="7" t="s">
        <v>1110</v>
      </c>
      <c r="C4" s="8">
        <v>1</v>
      </c>
      <c r="D4" s="9">
        <v>261.99</v>
      </c>
      <c r="E4" s="8" t="s">
        <v>1111</v>
      </c>
      <c r="F4" s="7" t="s">
        <v>3363</v>
      </c>
      <c r="G4" s="10"/>
      <c r="H4" s="7" t="s">
        <v>3388</v>
      </c>
      <c r="I4" s="7" t="s">
        <v>3664</v>
      </c>
      <c r="J4" s="7" t="s">
        <v>3358</v>
      </c>
      <c r="K4" s="7" t="s">
        <v>1112</v>
      </c>
      <c r="L4" s="11" t="str">
        <f>HYPERLINK("http://slimages.macys.com/is/image/MCY/11798869 ")</f>
        <v xml:space="preserve">http://slimages.macys.com/is/image/MCY/11798869 </v>
      </c>
    </row>
    <row r="5" spans="1:12" ht="39.950000000000003" customHeight="1" x14ac:dyDescent="0.25">
      <c r="A5" s="6" t="s">
        <v>1113</v>
      </c>
      <c r="B5" s="7" t="s">
        <v>1114</v>
      </c>
      <c r="C5" s="8">
        <v>1</v>
      </c>
      <c r="D5" s="9">
        <v>214.99</v>
      </c>
      <c r="E5" s="8" t="s">
        <v>1115</v>
      </c>
      <c r="F5" s="7" t="s">
        <v>3525</v>
      </c>
      <c r="G5" s="10"/>
      <c r="H5" s="7" t="s">
        <v>3356</v>
      </c>
      <c r="I5" s="7" t="s">
        <v>3436</v>
      </c>
      <c r="J5" s="7"/>
      <c r="K5" s="7"/>
      <c r="L5" s="11" t="str">
        <f>HYPERLINK("http://slimages.macys.com/is/image/MCY/17336001 ")</f>
        <v xml:space="preserve">http://slimages.macys.com/is/image/MCY/17336001 </v>
      </c>
    </row>
    <row r="6" spans="1:12" ht="39.950000000000003" customHeight="1" x14ac:dyDescent="0.25">
      <c r="A6" s="6" t="s">
        <v>1116</v>
      </c>
      <c r="B6" s="7" t="s">
        <v>1117</v>
      </c>
      <c r="C6" s="8">
        <v>1</v>
      </c>
      <c r="D6" s="9">
        <v>239.99</v>
      </c>
      <c r="E6" s="8" t="s">
        <v>1118</v>
      </c>
      <c r="F6" s="7" t="s">
        <v>3498</v>
      </c>
      <c r="G6" s="10"/>
      <c r="H6" s="7" t="s">
        <v>3876</v>
      </c>
      <c r="I6" s="7" t="s">
        <v>3894</v>
      </c>
      <c r="J6" s="7" t="s">
        <v>3358</v>
      </c>
      <c r="K6" s="7" t="s">
        <v>3390</v>
      </c>
      <c r="L6" s="11" t="str">
        <f>HYPERLINK("http://slimages.macys.com/is/image/MCY/1611451 ")</f>
        <v xml:space="preserve">http://slimages.macys.com/is/image/MCY/1611451 </v>
      </c>
    </row>
    <row r="7" spans="1:12" ht="39.950000000000003" customHeight="1" x14ac:dyDescent="0.25">
      <c r="A7" s="6" t="s">
        <v>1119</v>
      </c>
      <c r="B7" s="7" t="s">
        <v>1120</v>
      </c>
      <c r="C7" s="8">
        <v>1</v>
      </c>
      <c r="D7" s="9">
        <v>78.11</v>
      </c>
      <c r="E7" s="8">
        <v>228300</v>
      </c>
      <c r="F7" s="7"/>
      <c r="G7" s="10"/>
      <c r="H7" s="7" t="s">
        <v>3356</v>
      </c>
      <c r="I7" s="7" t="s">
        <v>1121</v>
      </c>
      <c r="J7" s="7" t="s">
        <v>3751</v>
      </c>
      <c r="K7" s="7" t="s">
        <v>1122</v>
      </c>
      <c r="L7" s="11" t="str">
        <f>HYPERLINK("http://images.bloomingdales.com/is/image/BLM/10001678 ")</f>
        <v xml:space="preserve">http://images.bloomingdales.com/is/image/BLM/10001678 </v>
      </c>
    </row>
    <row r="8" spans="1:12" ht="39.950000000000003" customHeight="1" x14ac:dyDescent="0.25">
      <c r="A8" s="6" t="s">
        <v>409</v>
      </c>
      <c r="B8" s="7" t="s">
        <v>410</v>
      </c>
      <c r="C8" s="8">
        <v>1</v>
      </c>
      <c r="D8" s="9">
        <v>219.99</v>
      </c>
      <c r="E8" s="8" t="s">
        <v>411</v>
      </c>
      <c r="F8" s="7" t="s">
        <v>3363</v>
      </c>
      <c r="G8" s="10" t="s">
        <v>3364</v>
      </c>
      <c r="H8" s="7" t="s">
        <v>3377</v>
      </c>
      <c r="I8" s="7" t="s">
        <v>3548</v>
      </c>
      <c r="J8" s="7" t="s">
        <v>3358</v>
      </c>
      <c r="K8" s="7"/>
      <c r="L8" s="11" t="str">
        <f>HYPERLINK("http://slimages.macys.com/is/image/MCY/2355760 ")</f>
        <v xml:space="preserve">http://slimages.macys.com/is/image/MCY/2355760 </v>
      </c>
    </row>
    <row r="9" spans="1:12" ht="39.950000000000003" customHeight="1" x14ac:dyDescent="0.25">
      <c r="A9" s="6" t="s">
        <v>1123</v>
      </c>
      <c r="B9" s="7" t="s">
        <v>1124</v>
      </c>
      <c r="C9" s="8">
        <v>1</v>
      </c>
      <c r="D9" s="9">
        <v>149.99</v>
      </c>
      <c r="E9" s="8">
        <v>210003</v>
      </c>
      <c r="F9" s="7" t="s">
        <v>3363</v>
      </c>
      <c r="G9" s="10"/>
      <c r="H9" s="7" t="s">
        <v>3388</v>
      </c>
      <c r="I9" s="7" t="s">
        <v>3423</v>
      </c>
      <c r="J9" s="7" t="s">
        <v>3379</v>
      </c>
      <c r="K9" s="7" t="s">
        <v>1125</v>
      </c>
      <c r="L9" s="11" t="str">
        <f>HYPERLINK("http://slimages.macys.com/is/image/MCY/15716899 ")</f>
        <v xml:space="preserve">http://slimages.macys.com/is/image/MCY/15716899 </v>
      </c>
    </row>
    <row r="10" spans="1:12" ht="39.950000000000003" customHeight="1" x14ac:dyDescent="0.25">
      <c r="A10" s="6" t="s">
        <v>1126</v>
      </c>
      <c r="B10" s="7" t="s">
        <v>1127</v>
      </c>
      <c r="C10" s="8">
        <v>2</v>
      </c>
      <c r="D10" s="9">
        <v>459.98</v>
      </c>
      <c r="E10" s="8" t="s">
        <v>1128</v>
      </c>
      <c r="F10" s="7" t="s">
        <v>3371</v>
      </c>
      <c r="G10" s="10"/>
      <c r="H10" s="7" t="s">
        <v>3365</v>
      </c>
      <c r="I10" s="7" t="s">
        <v>3366</v>
      </c>
      <c r="J10" s="7" t="s">
        <v>3358</v>
      </c>
      <c r="K10" s="7" t="s">
        <v>1129</v>
      </c>
      <c r="L10" s="11" t="str">
        <f>HYPERLINK("http://slimages.macys.com/is/image/MCY/11953123 ")</f>
        <v xml:space="preserve">http://slimages.macys.com/is/image/MCY/11953123 </v>
      </c>
    </row>
    <row r="11" spans="1:12" ht="39.950000000000003" customHeight="1" x14ac:dyDescent="0.25">
      <c r="A11" s="6" t="s">
        <v>1130</v>
      </c>
      <c r="B11" s="7" t="s">
        <v>1131</v>
      </c>
      <c r="C11" s="8">
        <v>1</v>
      </c>
      <c r="D11" s="9">
        <v>159.99</v>
      </c>
      <c r="E11" s="8" t="s">
        <v>1132</v>
      </c>
      <c r="F11" s="7" t="s">
        <v>3452</v>
      </c>
      <c r="G11" s="10"/>
      <c r="H11" s="7" t="s">
        <v>3365</v>
      </c>
      <c r="I11" s="7" t="s">
        <v>3402</v>
      </c>
      <c r="J11" s="7" t="s">
        <v>3358</v>
      </c>
      <c r="K11" s="7" t="s">
        <v>3403</v>
      </c>
      <c r="L11" s="11" t="str">
        <f>HYPERLINK("http://slimages.macys.com/is/image/MCY/3573212 ")</f>
        <v xml:space="preserve">http://slimages.macys.com/is/image/MCY/3573212 </v>
      </c>
    </row>
    <row r="12" spans="1:12" ht="39.950000000000003" customHeight="1" x14ac:dyDescent="0.25">
      <c r="A12" s="6" t="s">
        <v>1133</v>
      </c>
      <c r="B12" s="7" t="s">
        <v>1134</v>
      </c>
      <c r="C12" s="8">
        <v>1</v>
      </c>
      <c r="D12" s="9">
        <v>129.99</v>
      </c>
      <c r="E12" s="8">
        <v>120002</v>
      </c>
      <c r="F12" s="7" t="s">
        <v>3363</v>
      </c>
      <c r="G12" s="10"/>
      <c r="H12" s="7" t="s">
        <v>3422</v>
      </c>
      <c r="I12" s="7" t="s">
        <v>3423</v>
      </c>
      <c r="J12" s="7" t="s">
        <v>3358</v>
      </c>
      <c r="K12" s="7" t="s">
        <v>414</v>
      </c>
      <c r="L12" s="11" t="str">
        <f>HYPERLINK("http://slimages.macys.com/is/image/MCY/11189224 ")</f>
        <v xml:space="preserve">http://slimages.macys.com/is/image/MCY/11189224 </v>
      </c>
    </row>
    <row r="13" spans="1:12" ht="39.950000000000003" customHeight="1" x14ac:dyDescent="0.25">
      <c r="A13" s="6" t="s">
        <v>1135</v>
      </c>
      <c r="B13" s="7" t="s">
        <v>1136</v>
      </c>
      <c r="C13" s="8">
        <v>1</v>
      </c>
      <c r="D13" s="9">
        <v>78.11</v>
      </c>
      <c r="E13" s="8" t="s">
        <v>1137</v>
      </c>
      <c r="F13" s="7"/>
      <c r="G13" s="10"/>
      <c r="H13" s="7" t="s">
        <v>3408</v>
      </c>
      <c r="I13" s="7" t="s">
        <v>3409</v>
      </c>
      <c r="J13" s="7" t="s">
        <v>3358</v>
      </c>
      <c r="K13" s="7"/>
      <c r="L13" s="11" t="str">
        <f>HYPERLINK("http://slimages.macys.com/is/image/MCY/13585616 ")</f>
        <v xml:space="preserve">http://slimages.macys.com/is/image/MCY/13585616 </v>
      </c>
    </row>
    <row r="14" spans="1:12" ht="39.950000000000003" customHeight="1" x14ac:dyDescent="0.25">
      <c r="A14" s="6" t="s">
        <v>1138</v>
      </c>
      <c r="B14" s="7" t="s">
        <v>1139</v>
      </c>
      <c r="C14" s="8">
        <v>1</v>
      </c>
      <c r="D14" s="9">
        <v>400</v>
      </c>
      <c r="E14" s="8" t="s">
        <v>1140</v>
      </c>
      <c r="F14" s="7" t="s">
        <v>3363</v>
      </c>
      <c r="G14" s="10" t="s">
        <v>3606</v>
      </c>
      <c r="H14" s="7" t="s">
        <v>3471</v>
      </c>
      <c r="I14" s="7" t="s">
        <v>2556</v>
      </c>
      <c r="J14" s="7" t="s">
        <v>3379</v>
      </c>
      <c r="K14" s="7" t="s">
        <v>1141</v>
      </c>
      <c r="L14" s="11" t="str">
        <f>HYPERLINK("http://images.bloomingdales.com/is/image/BLM/11029919 ")</f>
        <v xml:space="preserve">http://images.bloomingdales.com/is/image/BLM/11029919 </v>
      </c>
    </row>
    <row r="15" spans="1:12" ht="39.950000000000003" customHeight="1" x14ac:dyDescent="0.25">
      <c r="A15" s="6" t="s">
        <v>1142</v>
      </c>
      <c r="B15" s="7" t="s">
        <v>1143</v>
      </c>
      <c r="C15" s="8">
        <v>1</v>
      </c>
      <c r="D15" s="9">
        <v>135.99</v>
      </c>
      <c r="E15" s="8" t="s">
        <v>1144</v>
      </c>
      <c r="F15" s="7" t="s">
        <v>3531</v>
      </c>
      <c r="G15" s="10" t="s">
        <v>1145</v>
      </c>
      <c r="H15" s="7" t="s">
        <v>3876</v>
      </c>
      <c r="I15" s="7" t="s">
        <v>1146</v>
      </c>
      <c r="J15" s="7" t="s">
        <v>3358</v>
      </c>
      <c r="K15" s="7" t="s">
        <v>3506</v>
      </c>
      <c r="L15" s="11" t="str">
        <f>HYPERLINK("http://slimages.macys.com/is/image/MCY/10200802 ")</f>
        <v xml:space="preserve">http://slimages.macys.com/is/image/MCY/10200802 </v>
      </c>
    </row>
    <row r="16" spans="1:12" ht="39.950000000000003" customHeight="1" x14ac:dyDescent="0.25">
      <c r="A16" s="6" t="s">
        <v>1147</v>
      </c>
      <c r="B16" s="7" t="s">
        <v>1148</v>
      </c>
      <c r="C16" s="8">
        <v>1</v>
      </c>
      <c r="D16" s="9">
        <v>89.99</v>
      </c>
      <c r="E16" s="8" t="s">
        <v>1149</v>
      </c>
      <c r="F16" s="7"/>
      <c r="G16" s="10"/>
      <c r="H16" s="7" t="s">
        <v>3356</v>
      </c>
      <c r="I16" s="7" t="s">
        <v>1150</v>
      </c>
      <c r="J16" s="7" t="s">
        <v>3358</v>
      </c>
      <c r="K16" s="7" t="s">
        <v>3951</v>
      </c>
      <c r="L16" s="11" t="str">
        <f>HYPERLINK("http://slimages.macys.com/is/image/MCY/8935615 ")</f>
        <v xml:space="preserve">http://slimages.macys.com/is/image/MCY/8935615 </v>
      </c>
    </row>
    <row r="17" spans="1:12" ht="39.950000000000003" customHeight="1" x14ac:dyDescent="0.25">
      <c r="A17" s="6" t="s">
        <v>1151</v>
      </c>
      <c r="B17" s="7" t="s">
        <v>1152</v>
      </c>
      <c r="C17" s="8">
        <v>1</v>
      </c>
      <c r="D17" s="9">
        <v>129.99</v>
      </c>
      <c r="E17" s="8" t="s">
        <v>1153</v>
      </c>
      <c r="F17" s="7" t="s">
        <v>3363</v>
      </c>
      <c r="G17" s="10"/>
      <c r="H17" s="7" t="s">
        <v>3658</v>
      </c>
      <c r="I17" s="7" t="s">
        <v>3659</v>
      </c>
      <c r="J17" s="7" t="s">
        <v>3358</v>
      </c>
      <c r="K17" s="7" t="s">
        <v>3521</v>
      </c>
      <c r="L17" s="11" t="str">
        <f>HYPERLINK("http://slimages.macys.com/is/image/MCY/8905437 ")</f>
        <v xml:space="preserve">http://slimages.macys.com/is/image/MCY/8905437 </v>
      </c>
    </row>
    <row r="18" spans="1:12" ht="39.950000000000003" customHeight="1" x14ac:dyDescent="0.25">
      <c r="A18" s="6" t="s">
        <v>1154</v>
      </c>
      <c r="B18" s="7" t="s">
        <v>1155</v>
      </c>
      <c r="C18" s="8">
        <v>1</v>
      </c>
      <c r="D18" s="9">
        <v>89.99</v>
      </c>
      <c r="E18" s="8" t="s">
        <v>1156</v>
      </c>
      <c r="F18" s="7" t="s">
        <v>4173</v>
      </c>
      <c r="G18" s="10"/>
      <c r="H18" s="7" t="s">
        <v>3412</v>
      </c>
      <c r="I18" s="7" t="s">
        <v>2493</v>
      </c>
      <c r="J18" s="7" t="s">
        <v>3358</v>
      </c>
      <c r="K18" s="7" t="s">
        <v>3901</v>
      </c>
      <c r="L18" s="11" t="str">
        <f>HYPERLINK("http://slimages.macys.com/is/image/MCY/12745134 ")</f>
        <v xml:space="preserve">http://slimages.macys.com/is/image/MCY/12745134 </v>
      </c>
    </row>
    <row r="19" spans="1:12" ht="39.950000000000003" customHeight="1" x14ac:dyDescent="0.25">
      <c r="A19" s="6" t="s">
        <v>1157</v>
      </c>
      <c r="B19" s="7" t="s">
        <v>1158</v>
      </c>
      <c r="C19" s="8">
        <v>1</v>
      </c>
      <c r="D19" s="9">
        <v>82.99</v>
      </c>
      <c r="E19" s="8" t="s">
        <v>1159</v>
      </c>
      <c r="F19" s="7" t="s">
        <v>3706</v>
      </c>
      <c r="G19" s="10"/>
      <c r="H19" s="7" t="s">
        <v>3412</v>
      </c>
      <c r="I19" s="7" t="s">
        <v>3064</v>
      </c>
      <c r="J19" s="7"/>
      <c r="K19" s="7"/>
      <c r="L19" s="11" t="str">
        <f>HYPERLINK("http://slimages.macys.com/is/image/MCY/18038519 ")</f>
        <v xml:space="preserve">http://slimages.macys.com/is/image/MCY/18038519 </v>
      </c>
    </row>
    <row r="20" spans="1:12" ht="39.950000000000003" customHeight="1" x14ac:dyDescent="0.25">
      <c r="A20" s="6" t="s">
        <v>1160</v>
      </c>
      <c r="B20" s="7" t="s">
        <v>1161</v>
      </c>
      <c r="C20" s="8">
        <v>1</v>
      </c>
      <c r="D20" s="9">
        <v>225</v>
      </c>
      <c r="E20" s="8" t="s">
        <v>1162</v>
      </c>
      <c r="F20" s="7" t="s">
        <v>3363</v>
      </c>
      <c r="G20" s="10" t="s">
        <v>3774</v>
      </c>
      <c r="H20" s="7" t="s">
        <v>3471</v>
      </c>
      <c r="I20" s="7" t="s">
        <v>4188</v>
      </c>
      <c r="J20" s="7" t="s">
        <v>3379</v>
      </c>
      <c r="K20" s="7" t="s">
        <v>1163</v>
      </c>
      <c r="L20" s="11" t="str">
        <f>HYPERLINK("http://images.bloomingdales.com/is/image/BLM/10714144 ")</f>
        <v xml:space="preserve">http://images.bloomingdales.com/is/image/BLM/10714144 </v>
      </c>
    </row>
    <row r="21" spans="1:12" ht="39.950000000000003" customHeight="1" x14ac:dyDescent="0.25">
      <c r="A21" s="6" t="s">
        <v>1164</v>
      </c>
      <c r="B21" s="7" t="s">
        <v>1165</v>
      </c>
      <c r="C21" s="8">
        <v>1</v>
      </c>
      <c r="D21" s="9">
        <v>69.989999999999995</v>
      </c>
      <c r="E21" s="8" t="s">
        <v>1166</v>
      </c>
      <c r="F21" s="7" t="s">
        <v>3531</v>
      </c>
      <c r="G21" s="10"/>
      <c r="H21" s="7" t="s">
        <v>3601</v>
      </c>
      <c r="I21" s="7" t="s">
        <v>3602</v>
      </c>
      <c r="J21" s="7" t="s">
        <v>3358</v>
      </c>
      <c r="K21" s="7" t="s">
        <v>4282</v>
      </c>
      <c r="L21" s="11" t="str">
        <f>HYPERLINK("http://slimages.macys.com/is/image/MCY/8433239 ")</f>
        <v xml:space="preserve">http://slimages.macys.com/is/image/MCY/8433239 </v>
      </c>
    </row>
    <row r="22" spans="1:12" ht="39.950000000000003" customHeight="1" x14ac:dyDescent="0.25">
      <c r="A22" s="6" t="s">
        <v>4071</v>
      </c>
      <c r="B22" s="7" t="s">
        <v>4072</v>
      </c>
      <c r="C22" s="8">
        <v>2</v>
      </c>
      <c r="D22" s="9">
        <v>129.97999999999999</v>
      </c>
      <c r="E22" s="8" t="s">
        <v>4073</v>
      </c>
      <c r="F22" s="7" t="s">
        <v>3363</v>
      </c>
      <c r="G22" s="10"/>
      <c r="H22" s="7" t="s">
        <v>3471</v>
      </c>
      <c r="I22" s="7" t="s">
        <v>3378</v>
      </c>
      <c r="J22" s="7" t="s">
        <v>3379</v>
      </c>
      <c r="K22" s="7" t="s">
        <v>4074</v>
      </c>
      <c r="L22" s="11" t="str">
        <f>HYPERLINK("http://slimages.macys.com/is/image/MCY/8589816 ")</f>
        <v xml:space="preserve">http://slimages.macys.com/is/image/MCY/8589816 </v>
      </c>
    </row>
    <row r="23" spans="1:12" ht="39.950000000000003" customHeight="1" x14ac:dyDescent="0.25">
      <c r="A23" s="6" t="s">
        <v>1167</v>
      </c>
      <c r="B23" s="7" t="s">
        <v>1168</v>
      </c>
      <c r="C23" s="8">
        <v>1</v>
      </c>
      <c r="D23" s="9">
        <v>59.99</v>
      </c>
      <c r="E23" s="8" t="s">
        <v>1169</v>
      </c>
      <c r="F23" s="7" t="s">
        <v>3355</v>
      </c>
      <c r="G23" s="10"/>
      <c r="H23" s="7" t="s">
        <v>3526</v>
      </c>
      <c r="I23" s="7" t="s">
        <v>3865</v>
      </c>
      <c r="J23" s="7" t="s">
        <v>3358</v>
      </c>
      <c r="K23" s="7" t="s">
        <v>4002</v>
      </c>
      <c r="L23" s="11" t="str">
        <f>HYPERLINK("http://slimages.macys.com/is/image/MCY/13036438 ")</f>
        <v xml:space="preserve">http://slimages.macys.com/is/image/MCY/13036438 </v>
      </c>
    </row>
    <row r="24" spans="1:12" ht="39.950000000000003" customHeight="1" x14ac:dyDescent="0.25">
      <c r="A24" s="6" t="s">
        <v>1170</v>
      </c>
      <c r="B24" s="7" t="s">
        <v>1429</v>
      </c>
      <c r="C24" s="8">
        <v>1</v>
      </c>
      <c r="D24" s="9">
        <v>68</v>
      </c>
      <c r="E24" s="8">
        <v>28131</v>
      </c>
      <c r="F24" s="7" t="s">
        <v>3363</v>
      </c>
      <c r="G24" s="10" t="s">
        <v>1171</v>
      </c>
      <c r="H24" s="7" t="s">
        <v>4165</v>
      </c>
      <c r="I24" s="7" t="s">
        <v>1430</v>
      </c>
      <c r="J24" s="7" t="s">
        <v>3751</v>
      </c>
      <c r="K24" s="7" t="s">
        <v>1172</v>
      </c>
      <c r="L24" s="11" t="str">
        <f>HYPERLINK("http://images.bloomingdales.com/is/image/BLM/8140393 ")</f>
        <v xml:space="preserve">http://images.bloomingdales.com/is/image/BLM/8140393 </v>
      </c>
    </row>
    <row r="25" spans="1:12" ht="39.950000000000003" customHeight="1" x14ac:dyDescent="0.25">
      <c r="A25" s="6" t="s">
        <v>1173</v>
      </c>
      <c r="B25" s="7" t="s">
        <v>1174</v>
      </c>
      <c r="C25" s="8">
        <v>1</v>
      </c>
      <c r="D25" s="9">
        <v>59.99</v>
      </c>
      <c r="E25" s="8" t="s">
        <v>1175</v>
      </c>
      <c r="F25" s="7" t="s">
        <v>3781</v>
      </c>
      <c r="G25" s="10" t="s">
        <v>1813</v>
      </c>
      <c r="H25" s="7" t="s">
        <v>3422</v>
      </c>
      <c r="I25" s="7" t="s">
        <v>2493</v>
      </c>
      <c r="J25" s="7" t="s">
        <v>3358</v>
      </c>
      <c r="K25" s="7" t="s">
        <v>1176</v>
      </c>
      <c r="L25" s="11" t="str">
        <f>HYPERLINK("http://slimages.macys.com/is/image/MCY/12686858 ")</f>
        <v xml:space="preserve">http://slimages.macys.com/is/image/MCY/12686858 </v>
      </c>
    </row>
    <row r="26" spans="1:12" ht="39.950000000000003" customHeight="1" x14ac:dyDescent="0.25">
      <c r="A26" s="6" t="s">
        <v>1177</v>
      </c>
      <c r="B26" s="7" t="s">
        <v>1178</v>
      </c>
      <c r="C26" s="8">
        <v>1</v>
      </c>
      <c r="D26" s="9">
        <v>59.99</v>
      </c>
      <c r="E26" s="8" t="s">
        <v>1179</v>
      </c>
      <c r="F26" s="7" t="s">
        <v>3531</v>
      </c>
      <c r="G26" s="10"/>
      <c r="H26" s="7" t="s">
        <v>3876</v>
      </c>
      <c r="I26" s="7" t="s">
        <v>3894</v>
      </c>
      <c r="J26" s="7" t="s">
        <v>3358</v>
      </c>
      <c r="K26" s="7" t="s">
        <v>3582</v>
      </c>
      <c r="L26" s="11" t="str">
        <f>HYPERLINK("http://slimages.macys.com/is/image/MCY/12894105 ")</f>
        <v xml:space="preserve">http://slimages.macys.com/is/image/MCY/12894105 </v>
      </c>
    </row>
    <row r="27" spans="1:12" ht="39.950000000000003" customHeight="1" x14ac:dyDescent="0.25">
      <c r="A27" s="6" t="s">
        <v>1180</v>
      </c>
      <c r="B27" s="7" t="s">
        <v>1181</v>
      </c>
      <c r="C27" s="8">
        <v>1</v>
      </c>
      <c r="D27" s="9">
        <v>99.99</v>
      </c>
      <c r="E27" s="8" t="s">
        <v>1182</v>
      </c>
      <c r="F27" s="7" t="s">
        <v>3371</v>
      </c>
      <c r="G27" s="10" t="s">
        <v>3811</v>
      </c>
      <c r="H27" s="7" t="s">
        <v>3365</v>
      </c>
      <c r="I27" s="7" t="s">
        <v>3366</v>
      </c>
      <c r="J27" s="7" t="s">
        <v>3358</v>
      </c>
      <c r="K27" s="7" t="s">
        <v>4138</v>
      </c>
      <c r="L27" s="11" t="str">
        <f>HYPERLINK("http://slimages.macys.com/is/image/MCY/8182285 ")</f>
        <v xml:space="preserve">http://slimages.macys.com/is/image/MCY/8182285 </v>
      </c>
    </row>
    <row r="28" spans="1:12" ht="39.950000000000003" customHeight="1" x14ac:dyDescent="0.25">
      <c r="A28" s="6" t="s">
        <v>1183</v>
      </c>
      <c r="B28" s="7" t="s">
        <v>1184</v>
      </c>
      <c r="C28" s="8">
        <v>1</v>
      </c>
      <c r="D28" s="9">
        <v>54.99</v>
      </c>
      <c r="E28" s="8">
        <v>131563</v>
      </c>
      <c r="F28" s="7" t="s">
        <v>3363</v>
      </c>
      <c r="G28" s="10" t="s">
        <v>3364</v>
      </c>
      <c r="H28" s="7" t="s">
        <v>3422</v>
      </c>
      <c r="I28" s="7" t="s">
        <v>3423</v>
      </c>
      <c r="J28" s="7" t="s">
        <v>3358</v>
      </c>
      <c r="K28" s="7" t="s">
        <v>4336</v>
      </c>
      <c r="L28" s="11" t="str">
        <f>HYPERLINK("http://slimages.macys.com/is/image/MCY/11189240 ")</f>
        <v xml:space="preserve">http://slimages.macys.com/is/image/MCY/11189240 </v>
      </c>
    </row>
    <row r="29" spans="1:12" ht="39.950000000000003" customHeight="1" x14ac:dyDescent="0.25">
      <c r="A29" s="6" t="s">
        <v>4102</v>
      </c>
      <c r="B29" s="7" t="s">
        <v>4103</v>
      </c>
      <c r="C29" s="8">
        <v>1</v>
      </c>
      <c r="D29" s="9">
        <v>84.99</v>
      </c>
      <c r="E29" s="8" t="s">
        <v>4104</v>
      </c>
      <c r="F29" s="7" t="s">
        <v>3498</v>
      </c>
      <c r="G29" s="10" t="s">
        <v>3645</v>
      </c>
      <c r="H29" s="7" t="s">
        <v>3471</v>
      </c>
      <c r="I29" s="7" t="s">
        <v>3548</v>
      </c>
      <c r="J29" s="7" t="s">
        <v>3358</v>
      </c>
      <c r="K29" s="7" t="s">
        <v>4105</v>
      </c>
      <c r="L29" s="11" t="str">
        <f>HYPERLINK("http://slimages.macys.com/is/image/MCY/13121058 ")</f>
        <v xml:space="preserve">http://slimages.macys.com/is/image/MCY/13121058 </v>
      </c>
    </row>
    <row r="30" spans="1:12" ht="39.950000000000003" customHeight="1" x14ac:dyDescent="0.25">
      <c r="A30" s="6" t="s">
        <v>2727</v>
      </c>
      <c r="B30" s="7" t="s">
        <v>2728</v>
      </c>
      <c r="C30" s="8">
        <v>1</v>
      </c>
      <c r="D30" s="9">
        <v>89.99</v>
      </c>
      <c r="E30" s="8" t="s">
        <v>2729</v>
      </c>
      <c r="F30" s="7" t="s">
        <v>3925</v>
      </c>
      <c r="G30" s="10"/>
      <c r="H30" s="7" t="s">
        <v>3365</v>
      </c>
      <c r="I30" s="7" t="s">
        <v>3554</v>
      </c>
      <c r="J30" s="7" t="s">
        <v>3358</v>
      </c>
      <c r="K30" s="7" t="s">
        <v>2730</v>
      </c>
      <c r="L30" s="11" t="str">
        <f>HYPERLINK("http://slimages.macys.com/is/image/MCY/8453087 ")</f>
        <v xml:space="preserve">http://slimages.macys.com/is/image/MCY/8453087 </v>
      </c>
    </row>
    <row r="31" spans="1:12" ht="39.950000000000003" customHeight="1" x14ac:dyDescent="0.25">
      <c r="A31" s="6" t="s">
        <v>1185</v>
      </c>
      <c r="B31" s="7" t="s">
        <v>1186</v>
      </c>
      <c r="C31" s="8">
        <v>1</v>
      </c>
      <c r="D31" s="9">
        <v>53.99</v>
      </c>
      <c r="E31" s="8">
        <v>56410</v>
      </c>
      <c r="F31" s="7" t="s">
        <v>3498</v>
      </c>
      <c r="G31" s="10"/>
      <c r="H31" s="7" t="s">
        <v>3388</v>
      </c>
      <c r="I31" s="7" t="s">
        <v>2358</v>
      </c>
      <c r="J31" s="7" t="s">
        <v>3358</v>
      </c>
      <c r="K31" s="7" t="s">
        <v>3484</v>
      </c>
      <c r="L31" s="11" t="str">
        <f>HYPERLINK("http://slimages.macys.com/is/image/MCY/14370974 ")</f>
        <v xml:space="preserve">http://slimages.macys.com/is/image/MCY/14370974 </v>
      </c>
    </row>
    <row r="32" spans="1:12" ht="39.950000000000003" customHeight="1" x14ac:dyDescent="0.25">
      <c r="A32" s="6" t="s">
        <v>1187</v>
      </c>
      <c r="B32" s="7" t="s">
        <v>1188</v>
      </c>
      <c r="C32" s="8">
        <v>1</v>
      </c>
      <c r="D32" s="9">
        <v>49.99</v>
      </c>
      <c r="E32" s="8">
        <v>22324222</v>
      </c>
      <c r="F32" s="7"/>
      <c r="G32" s="10"/>
      <c r="H32" s="7" t="s">
        <v>3412</v>
      </c>
      <c r="I32" s="7" t="s">
        <v>3413</v>
      </c>
      <c r="J32" s="7"/>
      <c r="K32" s="7"/>
      <c r="L32" s="11" t="str">
        <f>HYPERLINK("http://slimages.macys.com/is/image/MCY/17207620 ")</f>
        <v xml:space="preserve">http://slimages.macys.com/is/image/MCY/17207620 </v>
      </c>
    </row>
    <row r="33" spans="1:12" ht="39.950000000000003" customHeight="1" x14ac:dyDescent="0.25">
      <c r="A33" s="6" t="s">
        <v>1189</v>
      </c>
      <c r="B33" s="7" t="s">
        <v>1190</v>
      </c>
      <c r="C33" s="8">
        <v>1</v>
      </c>
      <c r="D33" s="9">
        <v>49.99</v>
      </c>
      <c r="E33" s="8">
        <v>22245122</v>
      </c>
      <c r="F33" s="7"/>
      <c r="G33" s="10"/>
      <c r="H33" s="7" t="s">
        <v>3412</v>
      </c>
      <c r="I33" s="7" t="s">
        <v>3413</v>
      </c>
      <c r="J33" s="7" t="s">
        <v>3358</v>
      </c>
      <c r="K33" s="7" t="s">
        <v>3390</v>
      </c>
      <c r="L33" s="11" t="str">
        <f>HYPERLINK("http://slimages.macys.com/is/image/MCY/16688320 ")</f>
        <v xml:space="preserve">http://slimages.macys.com/is/image/MCY/16688320 </v>
      </c>
    </row>
    <row r="34" spans="1:12" ht="39.950000000000003" customHeight="1" x14ac:dyDescent="0.25">
      <c r="A34" s="6" t="s">
        <v>1381</v>
      </c>
      <c r="B34" s="7" t="s">
        <v>1382</v>
      </c>
      <c r="C34" s="8">
        <v>1</v>
      </c>
      <c r="D34" s="9">
        <v>49.99</v>
      </c>
      <c r="E34" s="8" t="s">
        <v>1383</v>
      </c>
      <c r="F34" s="7"/>
      <c r="G34" s="10"/>
      <c r="H34" s="7" t="s">
        <v>3412</v>
      </c>
      <c r="I34" s="7" t="s">
        <v>3510</v>
      </c>
      <c r="J34" s="7"/>
      <c r="K34" s="7"/>
      <c r="L34" s="11" t="str">
        <f>HYPERLINK("http://slimages.macys.com/is/image/MCY/17892683 ")</f>
        <v xml:space="preserve">http://slimages.macys.com/is/image/MCY/17892683 </v>
      </c>
    </row>
    <row r="35" spans="1:12" ht="39.950000000000003" customHeight="1" x14ac:dyDescent="0.25">
      <c r="A35" s="6" t="s">
        <v>1191</v>
      </c>
      <c r="B35" s="7" t="s">
        <v>1192</v>
      </c>
      <c r="C35" s="8">
        <v>1</v>
      </c>
      <c r="D35" s="9">
        <v>48.99</v>
      </c>
      <c r="E35" s="8" t="s">
        <v>1193</v>
      </c>
      <c r="F35" s="7" t="s">
        <v>3384</v>
      </c>
      <c r="G35" s="10" t="s">
        <v>3504</v>
      </c>
      <c r="H35" s="7" t="s">
        <v>3422</v>
      </c>
      <c r="I35" s="7" t="s">
        <v>4113</v>
      </c>
      <c r="J35" s="7" t="s">
        <v>3358</v>
      </c>
      <c r="K35" s="7" t="s">
        <v>3390</v>
      </c>
      <c r="L35" s="11" t="str">
        <f>HYPERLINK("http://slimages.macys.com/is/image/MCY/15664014 ")</f>
        <v xml:space="preserve">http://slimages.macys.com/is/image/MCY/15664014 </v>
      </c>
    </row>
    <row r="36" spans="1:12" ht="39.950000000000003" customHeight="1" x14ac:dyDescent="0.25">
      <c r="A36" s="6" t="s">
        <v>1194</v>
      </c>
      <c r="B36" s="7" t="s">
        <v>1195</v>
      </c>
      <c r="C36" s="8">
        <v>1</v>
      </c>
      <c r="D36" s="9">
        <v>29.99</v>
      </c>
      <c r="E36" s="8" t="s">
        <v>1196</v>
      </c>
      <c r="F36" s="7" t="s">
        <v>3706</v>
      </c>
      <c r="G36" s="10"/>
      <c r="H36" s="7" t="s">
        <v>3876</v>
      </c>
      <c r="I36" s="7" t="s">
        <v>2268</v>
      </c>
      <c r="J36" s="7" t="s">
        <v>3358</v>
      </c>
      <c r="K36" s="7" t="s">
        <v>1197</v>
      </c>
      <c r="L36" s="11" t="str">
        <f>HYPERLINK("http://slimages.macys.com/is/image/MCY/12752009 ")</f>
        <v xml:space="preserve">http://slimages.macys.com/is/image/MCY/12752009 </v>
      </c>
    </row>
    <row r="37" spans="1:12" ht="39.950000000000003" customHeight="1" x14ac:dyDescent="0.25">
      <c r="A37" s="6" t="s">
        <v>1198</v>
      </c>
      <c r="B37" s="7" t="s">
        <v>1199</v>
      </c>
      <c r="C37" s="8">
        <v>1</v>
      </c>
      <c r="D37" s="9">
        <v>120</v>
      </c>
      <c r="E37" s="8" t="s">
        <v>1200</v>
      </c>
      <c r="F37" s="7" t="s">
        <v>3363</v>
      </c>
      <c r="G37" s="10" t="s">
        <v>3645</v>
      </c>
      <c r="H37" s="7" t="s">
        <v>3471</v>
      </c>
      <c r="I37" s="7" t="s">
        <v>2556</v>
      </c>
      <c r="J37" s="7" t="s">
        <v>3379</v>
      </c>
      <c r="K37" s="7" t="s">
        <v>2557</v>
      </c>
      <c r="L37" s="11" t="str">
        <f>HYPERLINK("http://images.bloomingdales.com/is/image/BLM/9688507 ")</f>
        <v xml:space="preserve">http://images.bloomingdales.com/is/image/BLM/9688507 </v>
      </c>
    </row>
    <row r="38" spans="1:12" ht="39.950000000000003" customHeight="1" x14ac:dyDescent="0.25">
      <c r="A38" s="6" t="s">
        <v>1201</v>
      </c>
      <c r="B38" s="7" t="s">
        <v>1202</v>
      </c>
      <c r="C38" s="8">
        <v>1</v>
      </c>
      <c r="D38" s="9">
        <v>49.99</v>
      </c>
      <c r="E38" s="8" t="s">
        <v>1203</v>
      </c>
      <c r="F38" s="7" t="s">
        <v>3531</v>
      </c>
      <c r="G38" s="10" t="s">
        <v>3028</v>
      </c>
      <c r="H38" s="7" t="s">
        <v>3601</v>
      </c>
      <c r="I38" s="7" t="s">
        <v>3602</v>
      </c>
      <c r="J38" s="7" t="s">
        <v>3358</v>
      </c>
      <c r="K38" s="7"/>
      <c r="L38" s="11" t="str">
        <f>HYPERLINK("http://slimages.macys.com/is/image/MCY/8435667 ")</f>
        <v xml:space="preserve">http://slimages.macys.com/is/image/MCY/8435667 </v>
      </c>
    </row>
    <row r="39" spans="1:12" ht="39.950000000000003" customHeight="1" x14ac:dyDescent="0.25">
      <c r="A39" s="6" t="s">
        <v>1204</v>
      </c>
      <c r="B39" s="7" t="s">
        <v>1205</v>
      </c>
      <c r="C39" s="8">
        <v>1</v>
      </c>
      <c r="D39" s="9">
        <v>39.99</v>
      </c>
      <c r="E39" s="8">
        <v>130109</v>
      </c>
      <c r="F39" s="7" t="s">
        <v>3384</v>
      </c>
      <c r="G39" s="10" t="s">
        <v>3364</v>
      </c>
      <c r="H39" s="7" t="s">
        <v>3422</v>
      </c>
      <c r="I39" s="7" t="s">
        <v>3423</v>
      </c>
      <c r="J39" s="7" t="s">
        <v>3358</v>
      </c>
      <c r="K39" s="7" t="s">
        <v>4134</v>
      </c>
      <c r="L39" s="11" t="str">
        <f>HYPERLINK("http://slimages.macys.com/is/image/MCY/3895749 ")</f>
        <v xml:space="preserve">http://slimages.macys.com/is/image/MCY/3895749 </v>
      </c>
    </row>
    <row r="40" spans="1:12" ht="39.950000000000003" customHeight="1" x14ac:dyDescent="0.25">
      <c r="A40" s="6" t="s">
        <v>1206</v>
      </c>
      <c r="B40" s="7" t="s">
        <v>1207</v>
      </c>
      <c r="C40" s="8">
        <v>9</v>
      </c>
      <c r="D40" s="9">
        <v>359.91</v>
      </c>
      <c r="E40" s="8" t="s">
        <v>1208</v>
      </c>
      <c r="F40" s="7" t="s">
        <v>3384</v>
      </c>
      <c r="G40" s="10"/>
      <c r="H40" s="7" t="s">
        <v>3515</v>
      </c>
      <c r="I40" s="7" t="s">
        <v>3436</v>
      </c>
      <c r="J40" s="7" t="s">
        <v>3358</v>
      </c>
      <c r="K40" s="7" t="s">
        <v>1209</v>
      </c>
      <c r="L40" s="11" t="str">
        <f>HYPERLINK("http://slimages.macys.com/is/image/MCY/11702782 ")</f>
        <v xml:space="preserve">http://slimages.macys.com/is/image/MCY/11702782 </v>
      </c>
    </row>
    <row r="41" spans="1:12" ht="39.950000000000003" customHeight="1" x14ac:dyDescent="0.25">
      <c r="A41" s="6" t="s">
        <v>1210</v>
      </c>
      <c r="B41" s="7" t="s">
        <v>1211</v>
      </c>
      <c r="C41" s="8">
        <v>6</v>
      </c>
      <c r="D41" s="9">
        <v>239.94</v>
      </c>
      <c r="E41" s="8" t="s">
        <v>1212</v>
      </c>
      <c r="F41" s="7" t="s">
        <v>3481</v>
      </c>
      <c r="G41" s="10"/>
      <c r="H41" s="7" t="s">
        <v>3876</v>
      </c>
      <c r="I41" s="7" t="s">
        <v>1213</v>
      </c>
      <c r="J41" s="7" t="s">
        <v>3358</v>
      </c>
      <c r="K41" s="7" t="s">
        <v>3506</v>
      </c>
      <c r="L41" s="11" t="str">
        <f>HYPERLINK("http://slimages.macys.com/is/image/MCY/14737399 ")</f>
        <v xml:space="preserve">http://slimages.macys.com/is/image/MCY/14737399 </v>
      </c>
    </row>
    <row r="42" spans="1:12" ht="39.950000000000003" customHeight="1" x14ac:dyDescent="0.25">
      <c r="A42" s="6" t="s">
        <v>1214</v>
      </c>
      <c r="B42" s="7" t="s">
        <v>1215</v>
      </c>
      <c r="C42" s="8">
        <v>1</v>
      </c>
      <c r="D42" s="9">
        <v>29.99</v>
      </c>
      <c r="E42" s="8" t="s">
        <v>1216</v>
      </c>
      <c r="F42" s="7" t="s">
        <v>4021</v>
      </c>
      <c r="G42" s="10"/>
      <c r="H42" s="7" t="s">
        <v>3397</v>
      </c>
      <c r="I42" s="7" t="s">
        <v>1217</v>
      </c>
      <c r="J42" s="7" t="s">
        <v>3358</v>
      </c>
      <c r="K42" s="7" t="s">
        <v>3390</v>
      </c>
      <c r="L42" s="11" t="str">
        <f>HYPERLINK("http://slimages.macys.com/is/image/MCY/14022236 ")</f>
        <v xml:space="preserve">http://slimages.macys.com/is/image/MCY/14022236 </v>
      </c>
    </row>
    <row r="43" spans="1:12" ht="39.950000000000003" customHeight="1" x14ac:dyDescent="0.25">
      <c r="A43" s="6" t="s">
        <v>1218</v>
      </c>
      <c r="B43" s="7" t="s">
        <v>1219</v>
      </c>
      <c r="C43" s="8">
        <v>1</v>
      </c>
      <c r="D43" s="9">
        <v>39.99</v>
      </c>
      <c r="E43" s="8" t="s">
        <v>1220</v>
      </c>
      <c r="F43" s="7" t="s">
        <v>3355</v>
      </c>
      <c r="G43" s="10"/>
      <c r="H43" s="7" t="s">
        <v>4165</v>
      </c>
      <c r="I43" s="7" t="s">
        <v>1084</v>
      </c>
      <c r="J43" s="7" t="s">
        <v>3358</v>
      </c>
      <c r="K43" s="7" t="s">
        <v>1221</v>
      </c>
      <c r="L43" s="11" t="str">
        <f>HYPERLINK("http://slimages.macys.com/is/image/MCY/8151499 ")</f>
        <v xml:space="preserve">http://slimages.macys.com/is/image/MCY/8151499 </v>
      </c>
    </row>
    <row r="44" spans="1:12" ht="39.950000000000003" customHeight="1" x14ac:dyDescent="0.25">
      <c r="A44" s="6" t="s">
        <v>1222</v>
      </c>
      <c r="B44" s="7" t="s">
        <v>1223</v>
      </c>
      <c r="C44" s="8">
        <v>3</v>
      </c>
      <c r="D44" s="9">
        <v>89.97</v>
      </c>
      <c r="E44" s="8" t="s">
        <v>1224</v>
      </c>
      <c r="F44" s="7"/>
      <c r="G44" s="10"/>
      <c r="H44" s="7" t="s">
        <v>3412</v>
      </c>
      <c r="I44" s="7" t="s">
        <v>3510</v>
      </c>
      <c r="J44" s="7"/>
      <c r="K44" s="7"/>
      <c r="L44" s="11" t="str">
        <f>HYPERLINK("http://slimages.macys.com/is/image/MCY/17892833 ")</f>
        <v xml:space="preserve">http://slimages.macys.com/is/image/MCY/17892833 </v>
      </c>
    </row>
    <row r="45" spans="1:12" ht="39.950000000000003" customHeight="1" x14ac:dyDescent="0.25">
      <c r="A45" s="6" t="s">
        <v>1225</v>
      </c>
      <c r="B45" s="7" t="s">
        <v>1226</v>
      </c>
      <c r="C45" s="8">
        <v>1</v>
      </c>
      <c r="D45" s="9">
        <v>29.99</v>
      </c>
      <c r="E45" s="8" t="s">
        <v>1227</v>
      </c>
      <c r="F45" s="7"/>
      <c r="G45" s="10"/>
      <c r="H45" s="7" t="s">
        <v>3412</v>
      </c>
      <c r="I45" s="7" t="s">
        <v>3510</v>
      </c>
      <c r="J45" s="7"/>
      <c r="K45" s="7"/>
      <c r="L45" s="11" t="str">
        <f>HYPERLINK("http://slimages.macys.com/is/image/MCY/17892130 ")</f>
        <v xml:space="preserve">http://slimages.macys.com/is/image/MCY/17892130 </v>
      </c>
    </row>
    <row r="46" spans="1:12" ht="39.950000000000003" customHeight="1" x14ac:dyDescent="0.25">
      <c r="A46" s="6" t="s">
        <v>4145</v>
      </c>
      <c r="B46" s="7" t="s">
        <v>4146</v>
      </c>
      <c r="C46" s="8">
        <v>1</v>
      </c>
      <c r="D46" s="9">
        <v>29.99</v>
      </c>
      <c r="E46" s="8">
        <v>82261</v>
      </c>
      <c r="F46" s="7" t="s">
        <v>3781</v>
      </c>
      <c r="G46" s="10"/>
      <c r="H46" s="7" t="s">
        <v>3412</v>
      </c>
      <c r="I46" s="7" t="s">
        <v>3595</v>
      </c>
      <c r="J46" s="7"/>
      <c r="K46" s="7"/>
      <c r="L46" s="11" t="str">
        <f>HYPERLINK("http://slimages.macys.com/is/image/MCY/17863027 ")</f>
        <v xml:space="preserve">http://slimages.macys.com/is/image/MCY/17863027 </v>
      </c>
    </row>
    <row r="47" spans="1:12" ht="39.950000000000003" customHeight="1" x14ac:dyDescent="0.25">
      <c r="A47" s="6" t="s">
        <v>1056</v>
      </c>
      <c r="B47" s="7" t="s">
        <v>1057</v>
      </c>
      <c r="C47" s="8">
        <v>2</v>
      </c>
      <c r="D47" s="9">
        <v>39.979999999999997</v>
      </c>
      <c r="E47" s="8" t="s">
        <v>1058</v>
      </c>
      <c r="F47" s="7" t="s">
        <v>3384</v>
      </c>
      <c r="G47" s="10" t="s">
        <v>3947</v>
      </c>
      <c r="H47" s="7" t="s">
        <v>3492</v>
      </c>
      <c r="I47" s="7" t="s">
        <v>3436</v>
      </c>
      <c r="J47" s="7" t="s">
        <v>3358</v>
      </c>
      <c r="K47" s="7" t="s">
        <v>3359</v>
      </c>
      <c r="L47" s="11" t="str">
        <f>HYPERLINK("http://slimages.macys.com/is/image/MCY/9602450 ")</f>
        <v xml:space="preserve">http://slimages.macys.com/is/image/MCY/9602450 </v>
      </c>
    </row>
    <row r="48" spans="1:12" ht="39.950000000000003" customHeight="1" x14ac:dyDescent="0.25">
      <c r="A48" s="6" t="s">
        <v>1228</v>
      </c>
      <c r="B48" s="7" t="s">
        <v>1229</v>
      </c>
      <c r="C48" s="8">
        <v>1</v>
      </c>
      <c r="D48" s="9">
        <v>29.99</v>
      </c>
      <c r="E48" s="8" t="s">
        <v>1230</v>
      </c>
      <c r="F48" s="7" t="s">
        <v>3899</v>
      </c>
      <c r="G48" s="10"/>
      <c r="H48" s="7" t="s">
        <v>3412</v>
      </c>
      <c r="I48" s="7" t="s">
        <v>3467</v>
      </c>
      <c r="J48" s="7"/>
      <c r="K48" s="7"/>
      <c r="L48" s="11" t="str">
        <f>HYPERLINK("http://slimages.macys.com/is/image/MCY/17443728 ")</f>
        <v xml:space="preserve">http://slimages.macys.com/is/image/MCY/17443728 </v>
      </c>
    </row>
    <row r="49" spans="1:12" ht="39.950000000000003" customHeight="1" x14ac:dyDescent="0.25">
      <c r="A49" s="6" t="s">
        <v>1231</v>
      </c>
      <c r="B49" s="7" t="s">
        <v>1232</v>
      </c>
      <c r="C49" s="8">
        <v>2</v>
      </c>
      <c r="D49" s="9">
        <v>37.979999999999997</v>
      </c>
      <c r="E49" s="8" t="s">
        <v>1233</v>
      </c>
      <c r="F49" s="7" t="s">
        <v>3632</v>
      </c>
      <c r="G49" s="10"/>
      <c r="H49" s="7" t="s">
        <v>3526</v>
      </c>
      <c r="I49" s="7" t="s">
        <v>4010</v>
      </c>
      <c r="J49" s="7" t="s">
        <v>3358</v>
      </c>
      <c r="K49" s="7" t="s">
        <v>4011</v>
      </c>
      <c r="L49" s="11" t="str">
        <f>HYPERLINK("http://slimages.macys.com/is/image/MCY/10681765 ")</f>
        <v xml:space="preserve">http://slimages.macys.com/is/image/MCY/10681765 </v>
      </c>
    </row>
    <row r="50" spans="1:12" ht="39.950000000000003" customHeight="1" x14ac:dyDescent="0.25">
      <c r="A50" s="6" t="s">
        <v>4015</v>
      </c>
      <c r="B50" s="7" t="s">
        <v>4016</v>
      </c>
      <c r="C50" s="8">
        <v>1</v>
      </c>
      <c r="D50" s="9">
        <v>19.989999999999998</v>
      </c>
      <c r="E50" s="8">
        <v>100071550</v>
      </c>
      <c r="F50" s="7" t="s">
        <v>3525</v>
      </c>
      <c r="G50" s="10"/>
      <c r="H50" s="7" t="s">
        <v>3454</v>
      </c>
      <c r="I50" s="7" t="s">
        <v>4017</v>
      </c>
      <c r="J50" s="7" t="s">
        <v>3751</v>
      </c>
      <c r="K50" s="7" t="s">
        <v>3390</v>
      </c>
      <c r="L50" s="11" t="str">
        <f>HYPERLINK("http://slimages.macys.com/is/image/MCY/16143901 ")</f>
        <v xml:space="preserve">http://slimages.macys.com/is/image/MCY/16143901 </v>
      </c>
    </row>
    <row r="51" spans="1:12" ht="39.950000000000003" customHeight="1" x14ac:dyDescent="0.25">
      <c r="A51" s="6" t="s">
        <v>1234</v>
      </c>
      <c r="B51" s="7" t="s">
        <v>1235</v>
      </c>
      <c r="C51" s="8">
        <v>2</v>
      </c>
      <c r="D51" s="9">
        <v>76</v>
      </c>
      <c r="E51" s="8" t="s">
        <v>1236</v>
      </c>
      <c r="F51" s="7" t="s">
        <v>3542</v>
      </c>
      <c r="G51" s="10" t="s">
        <v>3504</v>
      </c>
      <c r="H51" s="7" t="s">
        <v>3526</v>
      </c>
      <c r="I51" s="7" t="s">
        <v>1237</v>
      </c>
      <c r="J51" s="7"/>
      <c r="K51" s="7"/>
      <c r="L51" s="11"/>
    </row>
    <row r="52" spans="1:12" ht="39.950000000000003" customHeight="1" x14ac:dyDescent="0.25">
      <c r="A52" s="6" t="s">
        <v>3540</v>
      </c>
      <c r="B52" s="7" t="s">
        <v>3541</v>
      </c>
      <c r="C52" s="8">
        <v>2</v>
      </c>
      <c r="D52" s="9">
        <v>80</v>
      </c>
      <c r="E52" s="8"/>
      <c r="F52" s="7" t="s">
        <v>3542</v>
      </c>
      <c r="G52" s="10" t="s">
        <v>3504</v>
      </c>
      <c r="H52" s="7" t="s">
        <v>3543</v>
      </c>
      <c r="I52" s="7" t="s">
        <v>3544</v>
      </c>
      <c r="J52" s="7"/>
      <c r="K52" s="7"/>
      <c r="L52" s="11"/>
    </row>
    <row r="53" spans="1:12" ht="39.950000000000003" customHeight="1" x14ac:dyDescent="0.25">
      <c r="A53" s="6"/>
      <c r="B53" s="7"/>
      <c r="C53" s="8"/>
      <c r="D53" s="9"/>
      <c r="E53" s="8"/>
      <c r="F53" s="7"/>
      <c r="G53" s="10"/>
      <c r="H53" s="7"/>
      <c r="I53" s="7"/>
      <c r="J53" s="7"/>
      <c r="K53" s="7"/>
      <c r="L53" s="11"/>
    </row>
    <row r="54" spans="1:12" ht="39.950000000000003" customHeight="1" x14ac:dyDescent="0.25">
      <c r="A54" s="6"/>
      <c r="B54" s="7"/>
      <c r="C54" s="8"/>
      <c r="D54" s="9"/>
      <c r="E54" s="8"/>
      <c r="F54" s="7"/>
      <c r="G54" s="10"/>
      <c r="H54" s="7"/>
      <c r="I54" s="7"/>
      <c r="J54" s="7"/>
      <c r="K54" s="7"/>
      <c r="L54" s="11"/>
    </row>
    <row r="55" spans="1:12" ht="39.950000000000003" customHeight="1" x14ac:dyDescent="0.25">
      <c r="A55" s="6"/>
      <c r="B55" s="7"/>
      <c r="C55" s="8"/>
      <c r="D55" s="9"/>
      <c r="E55" s="8"/>
      <c r="F55" s="7"/>
      <c r="G55" s="10"/>
      <c r="H55" s="7"/>
      <c r="I55" s="7"/>
      <c r="J55" s="7"/>
      <c r="K55" s="7"/>
      <c r="L55" s="11"/>
    </row>
    <row r="56" spans="1:12" ht="39.950000000000003" customHeight="1" x14ac:dyDescent="0.25">
      <c r="A56" s="6"/>
      <c r="B56" s="7"/>
      <c r="C56" s="8"/>
      <c r="D56" s="9"/>
      <c r="E56" s="8"/>
      <c r="F56" s="7"/>
      <c r="G56" s="10"/>
      <c r="H56" s="7"/>
      <c r="I56" s="7"/>
      <c r="J56" s="7"/>
      <c r="K56" s="7"/>
      <c r="L56" s="11"/>
    </row>
    <row r="57" spans="1:12" ht="39.950000000000003" customHeight="1" x14ac:dyDescent="0.25">
      <c r="A57" s="6"/>
      <c r="B57" s="7"/>
      <c r="C57" s="8"/>
      <c r="D57" s="9"/>
      <c r="E57" s="8"/>
      <c r="F57" s="7"/>
      <c r="G57" s="10"/>
      <c r="H57" s="7"/>
      <c r="I57" s="7"/>
      <c r="J57" s="7"/>
      <c r="K57" s="7"/>
      <c r="L57" s="11"/>
    </row>
  </sheetData>
  <phoneticPr fontId="0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workbookViewId="0"/>
  </sheetViews>
  <sheetFormatPr defaultRowHeight="15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1238</v>
      </c>
      <c r="B2" s="7" t="s">
        <v>1239</v>
      </c>
      <c r="C2" s="8">
        <v>1</v>
      </c>
      <c r="D2" s="9">
        <v>369.99</v>
      </c>
      <c r="E2" s="8" t="s">
        <v>1240</v>
      </c>
      <c r="F2" s="7" t="s">
        <v>3363</v>
      </c>
      <c r="G2" s="10"/>
      <c r="H2" s="7" t="s">
        <v>3422</v>
      </c>
      <c r="I2" s="7" t="s">
        <v>3664</v>
      </c>
      <c r="J2" s="7" t="s">
        <v>3692</v>
      </c>
      <c r="K2" s="7" t="s">
        <v>2621</v>
      </c>
      <c r="L2" s="11" t="str">
        <f>HYPERLINK("http://slimages.macys.com/is/image/MCY/11798314 ")</f>
        <v xml:space="preserve">http://slimages.macys.com/is/image/MCY/11798314 </v>
      </c>
    </row>
    <row r="3" spans="1:12" ht="39.950000000000003" customHeight="1" x14ac:dyDescent="0.25">
      <c r="A3" s="6" t="s">
        <v>1241</v>
      </c>
      <c r="B3" s="7" t="s">
        <v>1242</v>
      </c>
      <c r="C3" s="8">
        <v>1</v>
      </c>
      <c r="D3" s="9">
        <v>249.99</v>
      </c>
      <c r="E3" s="8">
        <v>13420</v>
      </c>
      <c r="F3" s="7" t="s">
        <v>3426</v>
      </c>
      <c r="G3" s="10"/>
      <c r="H3" s="7" t="s">
        <v>3422</v>
      </c>
      <c r="I3" s="7" t="s">
        <v>3423</v>
      </c>
      <c r="J3" s="7" t="s">
        <v>3358</v>
      </c>
      <c r="K3" s="7" t="s">
        <v>3484</v>
      </c>
      <c r="L3" s="11" t="str">
        <f>HYPERLINK("http://slimages.macys.com/is/image/MCY/13287068 ")</f>
        <v xml:space="preserve">http://slimages.macys.com/is/image/MCY/13287068 </v>
      </c>
    </row>
    <row r="4" spans="1:12" ht="39.950000000000003" customHeight="1" x14ac:dyDescent="0.25">
      <c r="A4" s="6" t="s">
        <v>1243</v>
      </c>
      <c r="B4" s="7" t="s">
        <v>1244</v>
      </c>
      <c r="C4" s="8">
        <v>1</v>
      </c>
      <c r="D4" s="9">
        <v>274.99</v>
      </c>
      <c r="E4" s="8" t="s">
        <v>1245</v>
      </c>
      <c r="F4" s="7" t="s">
        <v>3363</v>
      </c>
      <c r="G4" s="10"/>
      <c r="H4" s="7" t="s">
        <v>3377</v>
      </c>
      <c r="I4" s="7" t="s">
        <v>3378</v>
      </c>
      <c r="J4" s="7" t="s">
        <v>3379</v>
      </c>
      <c r="K4" s="7" t="s">
        <v>3380</v>
      </c>
      <c r="L4" s="11" t="str">
        <f>HYPERLINK("http://slimages.macys.com/is/image/MCY/3974561 ")</f>
        <v xml:space="preserve">http://slimages.macys.com/is/image/MCY/3974561 </v>
      </c>
    </row>
    <row r="5" spans="1:12" ht="39.950000000000003" customHeight="1" x14ac:dyDescent="0.25">
      <c r="A5" s="6" t="s">
        <v>1246</v>
      </c>
      <c r="B5" s="7" t="s">
        <v>1247</v>
      </c>
      <c r="C5" s="8">
        <v>1</v>
      </c>
      <c r="D5" s="9">
        <v>179.99</v>
      </c>
      <c r="E5" s="8">
        <v>22326222</v>
      </c>
      <c r="F5" s="7" t="s">
        <v>3477</v>
      </c>
      <c r="G5" s="10"/>
      <c r="H5" s="7" t="s">
        <v>3412</v>
      </c>
      <c r="I5" s="7" t="s">
        <v>3413</v>
      </c>
      <c r="J5" s="7" t="s">
        <v>3358</v>
      </c>
      <c r="K5" s="7" t="s">
        <v>3506</v>
      </c>
      <c r="L5" s="11" t="str">
        <f>HYPERLINK("http://slimages.macys.com/is/image/MCY/16688594 ")</f>
        <v xml:space="preserve">http://slimages.macys.com/is/image/MCY/16688594 </v>
      </c>
    </row>
    <row r="6" spans="1:12" ht="39.950000000000003" customHeight="1" x14ac:dyDescent="0.25">
      <c r="A6" s="6" t="s">
        <v>1248</v>
      </c>
      <c r="B6" s="7" t="s">
        <v>1249</v>
      </c>
      <c r="C6" s="8">
        <v>1</v>
      </c>
      <c r="D6" s="9">
        <v>139.99</v>
      </c>
      <c r="E6" s="8" t="s">
        <v>1250</v>
      </c>
      <c r="F6" s="7" t="s">
        <v>3363</v>
      </c>
      <c r="G6" s="10"/>
      <c r="H6" s="7" t="s">
        <v>3422</v>
      </c>
      <c r="I6" s="7" t="s">
        <v>1251</v>
      </c>
      <c r="J6" s="7"/>
      <c r="K6" s="7"/>
      <c r="L6" s="11" t="str">
        <f>HYPERLINK("http://slimages.macys.com/is/image/MCY/18295908 ")</f>
        <v xml:space="preserve">http://slimages.macys.com/is/image/MCY/18295908 </v>
      </c>
    </row>
    <row r="7" spans="1:12" ht="39.950000000000003" customHeight="1" x14ac:dyDescent="0.25">
      <c r="A7" s="6" t="s">
        <v>1252</v>
      </c>
      <c r="B7" s="7" t="s">
        <v>1253</v>
      </c>
      <c r="C7" s="8">
        <v>1</v>
      </c>
      <c r="D7" s="9">
        <v>119.99</v>
      </c>
      <c r="E7" s="8" t="s">
        <v>1254</v>
      </c>
      <c r="F7" s="7" t="s">
        <v>3363</v>
      </c>
      <c r="G7" s="10"/>
      <c r="H7" s="7" t="s">
        <v>3526</v>
      </c>
      <c r="I7" s="7" t="s">
        <v>1255</v>
      </c>
      <c r="J7" s="7" t="s">
        <v>3358</v>
      </c>
      <c r="K7" s="7" t="s">
        <v>2430</v>
      </c>
      <c r="L7" s="11" t="str">
        <f>HYPERLINK("http://slimages.macys.com/is/image/MCY/14389046 ")</f>
        <v xml:space="preserve">http://slimages.macys.com/is/image/MCY/14389046 </v>
      </c>
    </row>
    <row r="8" spans="1:12" ht="39.950000000000003" customHeight="1" x14ac:dyDescent="0.25">
      <c r="A8" s="6" t="s">
        <v>1256</v>
      </c>
      <c r="B8" s="7" t="s">
        <v>1257</v>
      </c>
      <c r="C8" s="8">
        <v>1</v>
      </c>
      <c r="D8" s="9">
        <v>149.99</v>
      </c>
      <c r="E8" s="8" t="s">
        <v>1258</v>
      </c>
      <c r="F8" s="7" t="s">
        <v>3925</v>
      </c>
      <c r="G8" s="10"/>
      <c r="H8" s="7" t="s">
        <v>3876</v>
      </c>
      <c r="I8" s="7" t="s">
        <v>4250</v>
      </c>
      <c r="J8" s="7"/>
      <c r="K8" s="7"/>
      <c r="L8" s="11" t="str">
        <f>HYPERLINK("http://slimages.macys.com/is/image/MCY/17143352 ")</f>
        <v xml:space="preserve">http://slimages.macys.com/is/image/MCY/17143352 </v>
      </c>
    </row>
    <row r="9" spans="1:12" ht="39.950000000000003" customHeight="1" x14ac:dyDescent="0.25">
      <c r="A9" s="6" t="s">
        <v>1259</v>
      </c>
      <c r="B9" s="7" t="s">
        <v>1260</v>
      </c>
      <c r="C9" s="8">
        <v>1</v>
      </c>
      <c r="D9" s="9">
        <v>109.99</v>
      </c>
      <c r="E9" s="8" t="s">
        <v>1261</v>
      </c>
      <c r="F9" s="7" t="s">
        <v>3498</v>
      </c>
      <c r="G9" s="10"/>
      <c r="H9" s="7" t="s">
        <v>3408</v>
      </c>
      <c r="I9" s="7" t="s">
        <v>3409</v>
      </c>
      <c r="J9" s="7" t="s">
        <v>3358</v>
      </c>
      <c r="K9" s="7"/>
      <c r="L9" s="11" t="str">
        <f>HYPERLINK("http://slimages.macys.com/is/image/MCY/8707759 ")</f>
        <v xml:space="preserve">http://slimages.macys.com/is/image/MCY/8707759 </v>
      </c>
    </row>
    <row r="10" spans="1:12" ht="39.950000000000003" customHeight="1" x14ac:dyDescent="0.25">
      <c r="A10" s="6" t="s">
        <v>1262</v>
      </c>
      <c r="B10" s="7" t="s">
        <v>1263</v>
      </c>
      <c r="C10" s="8">
        <v>1</v>
      </c>
      <c r="D10" s="9">
        <v>139.99</v>
      </c>
      <c r="E10" s="8" t="s">
        <v>1264</v>
      </c>
      <c r="F10" s="7" t="s">
        <v>3363</v>
      </c>
      <c r="G10" s="10"/>
      <c r="H10" s="7" t="s">
        <v>3601</v>
      </c>
      <c r="I10" s="7" t="s">
        <v>3602</v>
      </c>
      <c r="J10" s="7" t="s">
        <v>3358</v>
      </c>
      <c r="K10" s="7" t="s">
        <v>1129</v>
      </c>
      <c r="L10" s="11" t="str">
        <f>HYPERLINK("http://slimages.macys.com/is/image/MCY/8433239 ")</f>
        <v xml:space="preserve">http://slimages.macys.com/is/image/MCY/8433239 </v>
      </c>
    </row>
    <row r="11" spans="1:12" ht="39.950000000000003" customHeight="1" x14ac:dyDescent="0.25">
      <c r="A11" s="6" t="s">
        <v>1265</v>
      </c>
      <c r="B11" s="7" t="s">
        <v>1266</v>
      </c>
      <c r="C11" s="8">
        <v>1</v>
      </c>
      <c r="D11" s="9">
        <v>89.99</v>
      </c>
      <c r="E11" s="8" t="s">
        <v>1267</v>
      </c>
      <c r="F11" s="7" t="s">
        <v>3363</v>
      </c>
      <c r="G11" s="10"/>
      <c r="H11" s="7" t="s">
        <v>3397</v>
      </c>
      <c r="I11" s="7" t="s">
        <v>3398</v>
      </c>
      <c r="J11" s="7" t="s">
        <v>3358</v>
      </c>
      <c r="K11" s="7" t="s">
        <v>3582</v>
      </c>
      <c r="L11" s="11" t="str">
        <f>HYPERLINK("http://slimages.macys.com/is/image/MCY/16585205 ")</f>
        <v xml:space="preserve">http://slimages.macys.com/is/image/MCY/16585205 </v>
      </c>
    </row>
    <row r="12" spans="1:12" ht="39.950000000000003" customHeight="1" x14ac:dyDescent="0.25">
      <c r="A12" s="6" t="s">
        <v>1268</v>
      </c>
      <c r="B12" s="7" t="s">
        <v>1269</v>
      </c>
      <c r="C12" s="8">
        <v>1</v>
      </c>
      <c r="D12" s="9">
        <v>109.99</v>
      </c>
      <c r="E12" s="8" t="s">
        <v>1270</v>
      </c>
      <c r="F12" s="7" t="s">
        <v>3531</v>
      </c>
      <c r="G12" s="10"/>
      <c r="H12" s="7" t="s">
        <v>3412</v>
      </c>
      <c r="I12" s="7" t="s">
        <v>3436</v>
      </c>
      <c r="J12" s="7"/>
      <c r="K12" s="7"/>
      <c r="L12" s="11" t="str">
        <f>HYPERLINK("http://slimages.macys.com/is/image/MCY/17911909 ")</f>
        <v xml:space="preserve">http://slimages.macys.com/is/image/MCY/17911909 </v>
      </c>
    </row>
    <row r="13" spans="1:12" ht="39.950000000000003" customHeight="1" x14ac:dyDescent="0.25">
      <c r="A13" s="6" t="s">
        <v>1271</v>
      </c>
      <c r="B13" s="7" t="s">
        <v>1272</v>
      </c>
      <c r="C13" s="8">
        <v>1</v>
      </c>
      <c r="D13" s="9">
        <v>90.99</v>
      </c>
      <c r="E13" s="8" t="s">
        <v>1273</v>
      </c>
      <c r="F13" s="7" t="s">
        <v>3443</v>
      </c>
      <c r="G13" s="10"/>
      <c r="H13" s="7" t="s">
        <v>3492</v>
      </c>
      <c r="I13" s="7" t="s">
        <v>3436</v>
      </c>
      <c r="J13" s="7" t="s">
        <v>3358</v>
      </c>
      <c r="K13" s="7"/>
      <c r="L13" s="11" t="str">
        <f>HYPERLINK("http://slimages.macys.com/is/image/MCY/12291977 ")</f>
        <v xml:space="preserve">http://slimages.macys.com/is/image/MCY/12291977 </v>
      </c>
    </row>
    <row r="14" spans="1:12" ht="39.950000000000003" customHeight="1" x14ac:dyDescent="0.25">
      <c r="A14" s="6" t="s">
        <v>1274</v>
      </c>
      <c r="B14" s="7" t="s">
        <v>1275</v>
      </c>
      <c r="C14" s="8">
        <v>1</v>
      </c>
      <c r="D14" s="9">
        <v>119.99</v>
      </c>
      <c r="E14" s="8" t="s">
        <v>1276</v>
      </c>
      <c r="F14" s="7" t="s">
        <v>3921</v>
      </c>
      <c r="G14" s="10"/>
      <c r="H14" s="7" t="s">
        <v>3601</v>
      </c>
      <c r="I14" s="7" t="s">
        <v>3602</v>
      </c>
      <c r="J14" s="7" t="s">
        <v>3358</v>
      </c>
      <c r="K14" s="7" t="s">
        <v>3521</v>
      </c>
      <c r="L14" s="11" t="str">
        <f>HYPERLINK("http://slimages.macys.com/is/image/MCY/11607139 ")</f>
        <v xml:space="preserve">http://slimages.macys.com/is/image/MCY/11607139 </v>
      </c>
    </row>
    <row r="15" spans="1:12" ht="39.950000000000003" customHeight="1" x14ac:dyDescent="0.25">
      <c r="A15" s="6" t="s">
        <v>1277</v>
      </c>
      <c r="B15" s="7" t="s">
        <v>1278</v>
      </c>
      <c r="C15" s="8">
        <v>1</v>
      </c>
      <c r="D15" s="9">
        <v>119.99</v>
      </c>
      <c r="E15" s="8" t="s">
        <v>1279</v>
      </c>
      <c r="F15" s="7" t="s">
        <v>4049</v>
      </c>
      <c r="G15" s="10"/>
      <c r="H15" s="7" t="s">
        <v>3601</v>
      </c>
      <c r="I15" s="7" t="s">
        <v>3602</v>
      </c>
      <c r="J15" s="7" t="s">
        <v>3358</v>
      </c>
      <c r="K15" s="7" t="s">
        <v>3521</v>
      </c>
      <c r="L15" s="11" t="str">
        <f>HYPERLINK("http://slimages.macys.com/is/image/MCY/11607139 ")</f>
        <v xml:space="preserve">http://slimages.macys.com/is/image/MCY/11607139 </v>
      </c>
    </row>
    <row r="16" spans="1:12" ht="39.950000000000003" customHeight="1" x14ac:dyDescent="0.25">
      <c r="A16" s="6" t="s">
        <v>1280</v>
      </c>
      <c r="B16" s="7" t="s">
        <v>1281</v>
      </c>
      <c r="C16" s="8">
        <v>1</v>
      </c>
      <c r="D16" s="9">
        <v>129.99</v>
      </c>
      <c r="E16" s="8" t="s">
        <v>1282</v>
      </c>
      <c r="F16" s="7" t="s">
        <v>3363</v>
      </c>
      <c r="G16" s="10" t="s">
        <v>3788</v>
      </c>
      <c r="H16" s="7" t="s">
        <v>3658</v>
      </c>
      <c r="I16" s="7" t="s">
        <v>2657</v>
      </c>
      <c r="J16" s="7" t="s">
        <v>3358</v>
      </c>
      <c r="K16" s="7" t="s">
        <v>1283</v>
      </c>
      <c r="L16" s="11" t="str">
        <f>HYPERLINK("http://slimages.macys.com/is/image/MCY/12072133 ")</f>
        <v xml:space="preserve">http://slimages.macys.com/is/image/MCY/12072133 </v>
      </c>
    </row>
    <row r="17" spans="1:12" ht="39.950000000000003" customHeight="1" x14ac:dyDescent="0.25">
      <c r="A17" s="6" t="s">
        <v>1284</v>
      </c>
      <c r="B17" s="7" t="s">
        <v>1285</v>
      </c>
      <c r="C17" s="8">
        <v>1</v>
      </c>
      <c r="D17" s="9">
        <v>99.99</v>
      </c>
      <c r="E17" s="8">
        <v>22337322</v>
      </c>
      <c r="F17" s="7" t="s">
        <v>3452</v>
      </c>
      <c r="G17" s="10"/>
      <c r="H17" s="7" t="s">
        <v>3412</v>
      </c>
      <c r="I17" s="7" t="s">
        <v>3413</v>
      </c>
      <c r="J17" s="7"/>
      <c r="K17" s="7"/>
      <c r="L17" s="11" t="str">
        <f>HYPERLINK("http://slimages.macys.com/is/image/MCY/17815183 ")</f>
        <v xml:space="preserve">http://slimages.macys.com/is/image/MCY/17815183 </v>
      </c>
    </row>
    <row r="18" spans="1:12" ht="39.950000000000003" customHeight="1" x14ac:dyDescent="0.25">
      <c r="A18" s="6" t="s">
        <v>1286</v>
      </c>
      <c r="B18" s="7" t="s">
        <v>1287</v>
      </c>
      <c r="C18" s="8">
        <v>1</v>
      </c>
      <c r="D18" s="9">
        <v>99.99</v>
      </c>
      <c r="E18" s="8" t="s">
        <v>1288</v>
      </c>
      <c r="F18" s="7" t="s">
        <v>3363</v>
      </c>
      <c r="G18" s="10" t="s">
        <v>3663</v>
      </c>
      <c r="H18" s="7" t="s">
        <v>3388</v>
      </c>
      <c r="I18" s="7" t="s">
        <v>3461</v>
      </c>
      <c r="J18" s="7"/>
      <c r="K18" s="7"/>
      <c r="L18" s="11" t="str">
        <f>HYPERLINK("http://slimages.macys.com/is/image/MCY/17546449 ")</f>
        <v xml:space="preserve">http://slimages.macys.com/is/image/MCY/17546449 </v>
      </c>
    </row>
    <row r="19" spans="1:12" ht="39.950000000000003" customHeight="1" x14ac:dyDescent="0.25">
      <c r="A19" s="6" t="s">
        <v>1289</v>
      </c>
      <c r="B19" s="7" t="s">
        <v>1290</v>
      </c>
      <c r="C19" s="8">
        <v>1</v>
      </c>
      <c r="D19" s="9">
        <v>149.99</v>
      </c>
      <c r="E19" s="8" t="s">
        <v>1291</v>
      </c>
      <c r="F19" s="7" t="s">
        <v>3363</v>
      </c>
      <c r="G19" s="10"/>
      <c r="H19" s="7" t="s">
        <v>3658</v>
      </c>
      <c r="I19" s="7" t="s">
        <v>3905</v>
      </c>
      <c r="J19" s="7"/>
      <c r="K19" s="7"/>
      <c r="L19" s="11" t="str">
        <f>HYPERLINK("http://slimages.macys.com/is/image/MCY/16792618 ")</f>
        <v xml:space="preserve">http://slimages.macys.com/is/image/MCY/16792618 </v>
      </c>
    </row>
    <row r="20" spans="1:12" ht="39.950000000000003" customHeight="1" x14ac:dyDescent="0.25">
      <c r="A20" s="6" t="s">
        <v>3155</v>
      </c>
      <c r="B20" s="7" t="s">
        <v>3156</v>
      </c>
      <c r="C20" s="8">
        <v>1</v>
      </c>
      <c r="D20" s="9">
        <v>99.99</v>
      </c>
      <c r="E20" s="8" t="s">
        <v>3157</v>
      </c>
      <c r="F20" s="7" t="s">
        <v>3355</v>
      </c>
      <c r="G20" s="10"/>
      <c r="H20" s="7" t="s">
        <v>3418</v>
      </c>
      <c r="I20" s="7" t="s">
        <v>3419</v>
      </c>
      <c r="J20" s="7"/>
      <c r="K20" s="7"/>
      <c r="L20" s="11" t="str">
        <f>HYPERLINK("http://slimages.macys.com/is/image/MCY/17662624 ")</f>
        <v xml:space="preserve">http://slimages.macys.com/is/image/MCY/17662624 </v>
      </c>
    </row>
    <row r="21" spans="1:12" ht="39.950000000000003" customHeight="1" x14ac:dyDescent="0.25">
      <c r="A21" s="6" t="s">
        <v>1292</v>
      </c>
      <c r="B21" s="7" t="s">
        <v>1293</v>
      </c>
      <c r="C21" s="8">
        <v>1</v>
      </c>
      <c r="D21" s="9">
        <v>82.99</v>
      </c>
      <c r="E21" s="8" t="s">
        <v>1294</v>
      </c>
      <c r="F21" s="7" t="s">
        <v>3735</v>
      </c>
      <c r="G21" s="10"/>
      <c r="H21" s="7" t="s">
        <v>3515</v>
      </c>
      <c r="I21" s="7" t="s">
        <v>1295</v>
      </c>
      <c r="J21" s="7" t="s">
        <v>3358</v>
      </c>
      <c r="K21" s="7" t="s">
        <v>3582</v>
      </c>
      <c r="L21" s="11" t="str">
        <f>HYPERLINK("http://slimages.macys.com/is/image/MCY/13066947 ")</f>
        <v xml:space="preserve">http://slimages.macys.com/is/image/MCY/13066947 </v>
      </c>
    </row>
    <row r="22" spans="1:12" ht="39.950000000000003" customHeight="1" x14ac:dyDescent="0.25">
      <c r="A22" s="6" t="s">
        <v>1296</v>
      </c>
      <c r="B22" s="7" t="s">
        <v>1297</v>
      </c>
      <c r="C22" s="8">
        <v>1</v>
      </c>
      <c r="D22" s="9">
        <v>109.99</v>
      </c>
      <c r="E22" s="8" t="s">
        <v>2113</v>
      </c>
      <c r="F22" s="7" t="s">
        <v>3363</v>
      </c>
      <c r="G22" s="10"/>
      <c r="H22" s="7" t="s">
        <v>3356</v>
      </c>
      <c r="I22" s="7" t="s">
        <v>2114</v>
      </c>
      <c r="J22" s="7" t="s">
        <v>3358</v>
      </c>
      <c r="K22" s="7" t="s">
        <v>2430</v>
      </c>
      <c r="L22" s="11" t="str">
        <f>HYPERLINK("http://slimages.macys.com/is/image/MCY/15144360 ")</f>
        <v xml:space="preserve">http://slimages.macys.com/is/image/MCY/15144360 </v>
      </c>
    </row>
    <row r="23" spans="1:12" ht="39.950000000000003" customHeight="1" x14ac:dyDescent="0.25">
      <c r="A23" s="6" t="s">
        <v>3624</v>
      </c>
      <c r="B23" s="7" t="s">
        <v>3625</v>
      </c>
      <c r="C23" s="8">
        <v>1</v>
      </c>
      <c r="D23" s="9">
        <v>79.989999999999995</v>
      </c>
      <c r="E23" s="8">
        <v>1003085000</v>
      </c>
      <c r="F23" s="7" t="s">
        <v>3498</v>
      </c>
      <c r="G23" s="10"/>
      <c r="H23" s="7" t="s">
        <v>3482</v>
      </c>
      <c r="I23" s="7" t="s">
        <v>3618</v>
      </c>
      <c r="J23" s="7" t="s">
        <v>3358</v>
      </c>
      <c r="K23" s="7" t="s">
        <v>3484</v>
      </c>
      <c r="L23" s="11" t="str">
        <f>HYPERLINK("http://slimages.macys.com/is/image/MCY/9971657 ")</f>
        <v xml:space="preserve">http://slimages.macys.com/is/image/MCY/9971657 </v>
      </c>
    </row>
    <row r="24" spans="1:12" ht="39.950000000000003" customHeight="1" x14ac:dyDescent="0.25">
      <c r="A24" s="6" t="s">
        <v>1298</v>
      </c>
      <c r="B24" s="7" t="s">
        <v>1299</v>
      </c>
      <c r="C24" s="8">
        <v>1</v>
      </c>
      <c r="D24" s="9">
        <v>69.989999999999995</v>
      </c>
      <c r="E24" s="8" t="s">
        <v>1300</v>
      </c>
      <c r="F24" s="7" t="s">
        <v>4219</v>
      </c>
      <c r="G24" s="10"/>
      <c r="H24" s="7" t="s">
        <v>3601</v>
      </c>
      <c r="I24" s="7" t="s">
        <v>3602</v>
      </c>
      <c r="J24" s="7" t="s">
        <v>3358</v>
      </c>
      <c r="K24" s="7" t="s">
        <v>4282</v>
      </c>
      <c r="L24" s="11" t="str">
        <f>HYPERLINK("http://slimages.macys.com/is/image/MCY/11607139 ")</f>
        <v xml:space="preserve">http://slimages.macys.com/is/image/MCY/11607139 </v>
      </c>
    </row>
    <row r="25" spans="1:12" ht="39.950000000000003" customHeight="1" x14ac:dyDescent="0.25">
      <c r="A25" s="6" t="s">
        <v>1301</v>
      </c>
      <c r="B25" s="7" t="s">
        <v>1302</v>
      </c>
      <c r="C25" s="8">
        <v>1</v>
      </c>
      <c r="D25" s="9">
        <v>79.989999999999995</v>
      </c>
      <c r="E25" s="8" t="s">
        <v>1303</v>
      </c>
      <c r="F25" s="7" t="s">
        <v>3673</v>
      </c>
      <c r="G25" s="10"/>
      <c r="H25" s="7" t="s">
        <v>3431</v>
      </c>
      <c r="I25" s="7" t="s">
        <v>3432</v>
      </c>
      <c r="J25" s="7" t="s">
        <v>3358</v>
      </c>
      <c r="K25" s="7"/>
      <c r="L25" s="11" t="str">
        <f>HYPERLINK("http://slimages.macys.com/is/image/MCY/8670787 ")</f>
        <v xml:space="preserve">http://slimages.macys.com/is/image/MCY/8670787 </v>
      </c>
    </row>
    <row r="26" spans="1:12" ht="39.950000000000003" customHeight="1" x14ac:dyDescent="0.25">
      <c r="A26" s="6" t="s">
        <v>1304</v>
      </c>
      <c r="B26" s="7" t="s">
        <v>1305</v>
      </c>
      <c r="C26" s="8">
        <v>1</v>
      </c>
      <c r="D26" s="9">
        <v>79.989999999999995</v>
      </c>
      <c r="E26" s="8" t="s">
        <v>1306</v>
      </c>
      <c r="F26" s="7" t="s">
        <v>3384</v>
      </c>
      <c r="G26" s="10"/>
      <c r="H26" s="7" t="s">
        <v>3408</v>
      </c>
      <c r="I26" s="7" t="s">
        <v>3409</v>
      </c>
      <c r="J26" s="7" t="s">
        <v>3358</v>
      </c>
      <c r="K26" s="7"/>
      <c r="L26" s="11" t="str">
        <f>HYPERLINK("http://slimages.macys.com/is/image/MCY/16143799 ")</f>
        <v xml:space="preserve">http://slimages.macys.com/is/image/MCY/16143799 </v>
      </c>
    </row>
    <row r="27" spans="1:12" ht="39.950000000000003" customHeight="1" x14ac:dyDescent="0.25">
      <c r="A27" s="6" t="s">
        <v>1307</v>
      </c>
      <c r="B27" s="7" t="s">
        <v>1308</v>
      </c>
      <c r="C27" s="8">
        <v>1</v>
      </c>
      <c r="D27" s="9">
        <v>79.989999999999995</v>
      </c>
      <c r="E27" s="8" t="s">
        <v>1309</v>
      </c>
      <c r="F27" s="7" t="s">
        <v>3384</v>
      </c>
      <c r="G27" s="10"/>
      <c r="H27" s="7" t="s">
        <v>3526</v>
      </c>
      <c r="I27" s="7" t="s">
        <v>1653</v>
      </c>
      <c r="J27" s="7" t="s">
        <v>3358</v>
      </c>
      <c r="K27" s="7" t="s">
        <v>1310</v>
      </c>
      <c r="L27" s="11" t="str">
        <f>HYPERLINK("http://slimages.macys.com/is/image/MCY/10677037 ")</f>
        <v xml:space="preserve">http://slimages.macys.com/is/image/MCY/10677037 </v>
      </c>
    </row>
    <row r="28" spans="1:12" ht="39.950000000000003" customHeight="1" x14ac:dyDescent="0.25">
      <c r="A28" s="6" t="s">
        <v>1311</v>
      </c>
      <c r="B28" s="7" t="s">
        <v>1312</v>
      </c>
      <c r="C28" s="8">
        <v>1</v>
      </c>
      <c r="D28" s="9">
        <v>139.99</v>
      </c>
      <c r="E28" s="8" t="s">
        <v>1313</v>
      </c>
      <c r="F28" s="7" t="s">
        <v>3371</v>
      </c>
      <c r="G28" s="10" t="s">
        <v>3028</v>
      </c>
      <c r="H28" s="7" t="s">
        <v>3365</v>
      </c>
      <c r="I28" s="7" t="s">
        <v>3366</v>
      </c>
      <c r="J28" s="7" t="s">
        <v>3358</v>
      </c>
      <c r="K28" s="7" t="s">
        <v>4138</v>
      </c>
      <c r="L28" s="11" t="str">
        <f>HYPERLINK("http://slimages.macys.com/is/image/MCY/8182285 ")</f>
        <v xml:space="preserve">http://slimages.macys.com/is/image/MCY/8182285 </v>
      </c>
    </row>
    <row r="29" spans="1:12" ht="39.950000000000003" customHeight="1" x14ac:dyDescent="0.25">
      <c r="A29" s="6" t="s">
        <v>1314</v>
      </c>
      <c r="B29" s="7" t="s">
        <v>1315</v>
      </c>
      <c r="C29" s="8">
        <v>2</v>
      </c>
      <c r="D29" s="9">
        <v>99.98</v>
      </c>
      <c r="E29" s="8">
        <v>19865322</v>
      </c>
      <c r="F29" s="7" t="s">
        <v>3384</v>
      </c>
      <c r="G29" s="10"/>
      <c r="H29" s="7" t="s">
        <v>3412</v>
      </c>
      <c r="I29" s="7" t="s">
        <v>3413</v>
      </c>
      <c r="J29" s="7" t="s">
        <v>3358</v>
      </c>
      <c r="K29" s="7" t="s">
        <v>4098</v>
      </c>
      <c r="L29" s="11" t="str">
        <f>HYPERLINK("http://slimages.macys.com/is/image/MCY/10112587 ")</f>
        <v xml:space="preserve">http://slimages.macys.com/is/image/MCY/10112587 </v>
      </c>
    </row>
    <row r="30" spans="1:12" ht="39.950000000000003" customHeight="1" x14ac:dyDescent="0.25">
      <c r="A30" s="6" t="s">
        <v>1316</v>
      </c>
      <c r="B30" s="7" t="s">
        <v>1317</v>
      </c>
      <c r="C30" s="8">
        <v>1</v>
      </c>
      <c r="D30" s="9">
        <v>53.99</v>
      </c>
      <c r="E30" s="8" t="s">
        <v>1318</v>
      </c>
      <c r="F30" s="7" t="s">
        <v>3477</v>
      </c>
      <c r="G30" s="10"/>
      <c r="H30" s="7" t="s">
        <v>3876</v>
      </c>
      <c r="I30" s="7" t="s">
        <v>2279</v>
      </c>
      <c r="J30" s="7" t="s">
        <v>3358</v>
      </c>
      <c r="K30" s="7" t="s">
        <v>3506</v>
      </c>
      <c r="L30" s="11" t="str">
        <f>HYPERLINK("http://slimages.macys.com/is/image/MCY/11178006 ")</f>
        <v xml:space="preserve">http://slimages.macys.com/is/image/MCY/11178006 </v>
      </c>
    </row>
    <row r="31" spans="1:12" ht="39.950000000000003" customHeight="1" x14ac:dyDescent="0.25">
      <c r="A31" s="6" t="s">
        <v>1319</v>
      </c>
      <c r="B31" s="7" t="s">
        <v>1320</v>
      </c>
      <c r="C31" s="8">
        <v>1</v>
      </c>
      <c r="D31" s="9">
        <v>60.99</v>
      </c>
      <c r="E31" s="8">
        <v>61646</v>
      </c>
      <c r="F31" s="7" t="s">
        <v>3363</v>
      </c>
      <c r="G31" s="10"/>
      <c r="H31" s="7" t="s">
        <v>3388</v>
      </c>
      <c r="I31" s="7" t="s">
        <v>2358</v>
      </c>
      <c r="J31" s="7" t="s">
        <v>3358</v>
      </c>
      <c r="K31" s="7" t="s">
        <v>3484</v>
      </c>
      <c r="L31" s="11" t="str">
        <f>HYPERLINK("http://slimages.macys.com/is/image/MCY/14371015 ")</f>
        <v xml:space="preserve">http://slimages.macys.com/is/image/MCY/14371015 </v>
      </c>
    </row>
    <row r="32" spans="1:12" ht="39.950000000000003" customHeight="1" x14ac:dyDescent="0.25">
      <c r="A32" s="6" t="s">
        <v>1321</v>
      </c>
      <c r="B32" s="7" t="s">
        <v>1322</v>
      </c>
      <c r="C32" s="8">
        <v>1</v>
      </c>
      <c r="D32" s="9">
        <v>49.99</v>
      </c>
      <c r="E32" s="8">
        <v>22359438</v>
      </c>
      <c r="F32" s="7" t="s">
        <v>3363</v>
      </c>
      <c r="G32" s="10"/>
      <c r="H32" s="7" t="s">
        <v>3526</v>
      </c>
      <c r="I32" s="7" t="s">
        <v>3413</v>
      </c>
      <c r="J32" s="7"/>
      <c r="K32" s="7"/>
      <c r="L32" s="11" t="str">
        <f>HYPERLINK("http://slimages.macys.com/is/image/MCY/17191782 ")</f>
        <v xml:space="preserve">http://slimages.macys.com/is/image/MCY/17191782 </v>
      </c>
    </row>
    <row r="33" spans="1:12" ht="39.950000000000003" customHeight="1" x14ac:dyDescent="0.25">
      <c r="A33" s="6" t="s">
        <v>1323</v>
      </c>
      <c r="B33" s="7" t="s">
        <v>1324</v>
      </c>
      <c r="C33" s="8">
        <v>1</v>
      </c>
      <c r="D33" s="9">
        <v>66.989999999999995</v>
      </c>
      <c r="E33" s="8" t="s">
        <v>1325</v>
      </c>
      <c r="F33" s="7" t="s">
        <v>3363</v>
      </c>
      <c r="G33" s="10" t="s">
        <v>3364</v>
      </c>
      <c r="H33" s="7" t="s">
        <v>3422</v>
      </c>
      <c r="I33" s="7" t="s">
        <v>3461</v>
      </c>
      <c r="J33" s="7" t="s">
        <v>3358</v>
      </c>
      <c r="K33" s="7" t="s">
        <v>3390</v>
      </c>
      <c r="L33" s="11" t="str">
        <f>HYPERLINK("http://slimages.macys.com/is/image/MCY/15688048 ")</f>
        <v xml:space="preserve">http://slimages.macys.com/is/image/MCY/15688048 </v>
      </c>
    </row>
    <row r="34" spans="1:12" ht="39.950000000000003" customHeight="1" x14ac:dyDescent="0.25">
      <c r="A34" s="6" t="s">
        <v>1326</v>
      </c>
      <c r="B34" s="7" t="s">
        <v>1327</v>
      </c>
      <c r="C34" s="8">
        <v>1</v>
      </c>
      <c r="D34" s="9">
        <v>51.99</v>
      </c>
      <c r="E34" s="8" t="s">
        <v>1328</v>
      </c>
      <c r="F34" s="7" t="s">
        <v>3553</v>
      </c>
      <c r="G34" s="10"/>
      <c r="H34" s="7" t="s">
        <v>3372</v>
      </c>
      <c r="I34" s="7" t="s">
        <v>1542</v>
      </c>
      <c r="J34" s="7" t="s">
        <v>3358</v>
      </c>
      <c r="K34" s="7" t="s">
        <v>3521</v>
      </c>
      <c r="L34" s="11" t="str">
        <f>HYPERLINK("http://slimages.macys.com/is/image/MCY/15692081 ")</f>
        <v xml:space="preserve">http://slimages.macys.com/is/image/MCY/15692081 </v>
      </c>
    </row>
    <row r="35" spans="1:12" ht="39.950000000000003" customHeight="1" x14ac:dyDescent="0.25">
      <c r="A35" s="6" t="s">
        <v>1329</v>
      </c>
      <c r="B35" s="7" t="s">
        <v>1330</v>
      </c>
      <c r="C35" s="8">
        <v>1</v>
      </c>
      <c r="D35" s="9">
        <v>49.99</v>
      </c>
      <c r="E35" s="8">
        <v>17119229</v>
      </c>
      <c r="F35" s="7" t="s">
        <v>3477</v>
      </c>
      <c r="G35" s="10"/>
      <c r="H35" s="7" t="s">
        <v>3412</v>
      </c>
      <c r="I35" s="7" t="s">
        <v>3413</v>
      </c>
      <c r="J35" s="7" t="s">
        <v>3358</v>
      </c>
      <c r="K35" s="7"/>
      <c r="L35" s="11" t="str">
        <f>HYPERLINK("http://slimages.macys.com/is/image/MCY/8736938 ")</f>
        <v xml:space="preserve">http://slimages.macys.com/is/image/MCY/8736938 </v>
      </c>
    </row>
    <row r="36" spans="1:12" ht="39.950000000000003" customHeight="1" x14ac:dyDescent="0.25">
      <c r="A36" s="6" t="s">
        <v>1331</v>
      </c>
      <c r="B36" s="7" t="s">
        <v>1332</v>
      </c>
      <c r="C36" s="8">
        <v>1</v>
      </c>
      <c r="D36" s="9">
        <v>58.99</v>
      </c>
      <c r="E36" s="8" t="s">
        <v>1333</v>
      </c>
      <c r="F36" s="7" t="s">
        <v>3525</v>
      </c>
      <c r="G36" s="10" t="s">
        <v>3504</v>
      </c>
      <c r="H36" s="7" t="s">
        <v>3388</v>
      </c>
      <c r="I36" s="7" t="s">
        <v>1334</v>
      </c>
      <c r="J36" s="7" t="s">
        <v>3358</v>
      </c>
      <c r="K36" s="7" t="s">
        <v>1335</v>
      </c>
      <c r="L36" s="11" t="str">
        <f>HYPERLINK("http://slimages.macys.com/is/image/MCY/12681425 ")</f>
        <v xml:space="preserve">http://slimages.macys.com/is/image/MCY/12681425 </v>
      </c>
    </row>
    <row r="37" spans="1:12" ht="39.950000000000003" customHeight="1" x14ac:dyDescent="0.25">
      <c r="A37" s="6" t="s">
        <v>1336</v>
      </c>
      <c r="B37" s="7" t="s">
        <v>1337</v>
      </c>
      <c r="C37" s="8">
        <v>1</v>
      </c>
      <c r="D37" s="9">
        <v>49.99</v>
      </c>
      <c r="E37" s="8" t="s">
        <v>1338</v>
      </c>
      <c r="F37" s="7" t="s">
        <v>3525</v>
      </c>
      <c r="G37" s="10"/>
      <c r="H37" s="7" t="s">
        <v>3515</v>
      </c>
      <c r="I37" s="7" t="s">
        <v>3669</v>
      </c>
      <c r="J37" s="7" t="s">
        <v>3358</v>
      </c>
      <c r="K37" s="7" t="s">
        <v>3390</v>
      </c>
      <c r="L37" s="11" t="str">
        <f>HYPERLINK("http://slimages.macys.com/is/image/MCY/13300147 ")</f>
        <v xml:space="preserve">http://slimages.macys.com/is/image/MCY/13300147 </v>
      </c>
    </row>
    <row r="38" spans="1:12" ht="39.950000000000003" customHeight="1" x14ac:dyDescent="0.25">
      <c r="A38" s="6" t="s">
        <v>1339</v>
      </c>
      <c r="B38" s="7" t="s">
        <v>1340</v>
      </c>
      <c r="C38" s="8">
        <v>2</v>
      </c>
      <c r="D38" s="9">
        <v>121.98</v>
      </c>
      <c r="E38" s="8" t="s">
        <v>1341</v>
      </c>
      <c r="F38" s="7" t="s">
        <v>3937</v>
      </c>
      <c r="G38" s="10"/>
      <c r="H38" s="7" t="s">
        <v>3492</v>
      </c>
      <c r="I38" s="7" t="s">
        <v>2204</v>
      </c>
      <c r="J38" s="7" t="s">
        <v>3358</v>
      </c>
      <c r="K38" s="7" t="s">
        <v>1342</v>
      </c>
      <c r="L38" s="11" t="str">
        <f>HYPERLINK("http://slimages.macys.com/is/image/MCY/9167404 ")</f>
        <v xml:space="preserve">http://slimages.macys.com/is/image/MCY/9167404 </v>
      </c>
    </row>
    <row r="39" spans="1:12" ht="39.950000000000003" customHeight="1" x14ac:dyDescent="0.25">
      <c r="A39" s="6" t="s">
        <v>1343</v>
      </c>
      <c r="B39" s="7" t="s">
        <v>2019</v>
      </c>
      <c r="C39" s="8">
        <v>1</v>
      </c>
      <c r="D39" s="9">
        <v>49.99</v>
      </c>
      <c r="E39" s="8" t="s">
        <v>1344</v>
      </c>
      <c r="F39" s="7" t="s">
        <v>3498</v>
      </c>
      <c r="G39" s="10"/>
      <c r="H39" s="7" t="s">
        <v>3526</v>
      </c>
      <c r="I39" s="7" t="s">
        <v>3865</v>
      </c>
      <c r="J39" s="7"/>
      <c r="K39" s="7"/>
      <c r="L39" s="11" t="str">
        <f>HYPERLINK("http://slimages.macys.com/is/image/MCY/17968749 ")</f>
        <v xml:space="preserve">http://slimages.macys.com/is/image/MCY/17968749 </v>
      </c>
    </row>
    <row r="40" spans="1:12" ht="39.950000000000003" customHeight="1" x14ac:dyDescent="0.25">
      <c r="A40" s="6" t="s">
        <v>1345</v>
      </c>
      <c r="B40" s="7" t="s">
        <v>1346</v>
      </c>
      <c r="C40" s="8">
        <v>3</v>
      </c>
      <c r="D40" s="9">
        <v>146.97</v>
      </c>
      <c r="E40" s="8" t="s">
        <v>1347</v>
      </c>
      <c r="F40" s="7" t="s">
        <v>3632</v>
      </c>
      <c r="G40" s="10"/>
      <c r="H40" s="7" t="s">
        <v>3492</v>
      </c>
      <c r="I40" s="7" t="s">
        <v>2204</v>
      </c>
      <c r="J40" s="7" t="s">
        <v>3358</v>
      </c>
      <c r="K40" s="7" t="s">
        <v>3390</v>
      </c>
      <c r="L40" s="11" t="str">
        <f>HYPERLINK("http://slimages.macys.com/is/image/MCY/9168734 ")</f>
        <v xml:space="preserve">http://slimages.macys.com/is/image/MCY/9168734 </v>
      </c>
    </row>
    <row r="41" spans="1:12" ht="39.950000000000003" customHeight="1" x14ac:dyDescent="0.25">
      <c r="A41" s="6" t="s">
        <v>1378</v>
      </c>
      <c r="B41" s="7" t="s">
        <v>1379</v>
      </c>
      <c r="C41" s="8">
        <v>2</v>
      </c>
      <c r="D41" s="9">
        <v>99.98</v>
      </c>
      <c r="E41" s="8" t="s">
        <v>1380</v>
      </c>
      <c r="F41" s="7" t="s">
        <v>3384</v>
      </c>
      <c r="G41" s="10"/>
      <c r="H41" s="7" t="s">
        <v>3412</v>
      </c>
      <c r="I41" s="7" t="s">
        <v>3413</v>
      </c>
      <c r="J41" s="7" t="s">
        <v>3358</v>
      </c>
      <c r="K41" s="7" t="s">
        <v>3390</v>
      </c>
      <c r="L41" s="11" t="str">
        <f>HYPERLINK("http://slimages.macys.com/is/image/MCY/8347198 ")</f>
        <v xml:space="preserve">http://slimages.macys.com/is/image/MCY/8347198 </v>
      </c>
    </row>
    <row r="42" spans="1:12" ht="39.950000000000003" customHeight="1" x14ac:dyDescent="0.25">
      <c r="A42" s="6" t="s">
        <v>1348</v>
      </c>
      <c r="B42" s="7" t="s">
        <v>1349</v>
      </c>
      <c r="C42" s="8">
        <v>1</v>
      </c>
      <c r="D42" s="9">
        <v>49.99</v>
      </c>
      <c r="E42" s="8" t="s">
        <v>1350</v>
      </c>
      <c r="F42" s="7" t="s">
        <v>3384</v>
      </c>
      <c r="G42" s="10" t="s">
        <v>3750</v>
      </c>
      <c r="H42" s="7" t="s">
        <v>3876</v>
      </c>
      <c r="I42" s="7" t="s">
        <v>4250</v>
      </c>
      <c r="J42" s="7" t="s">
        <v>3358</v>
      </c>
      <c r="K42" s="7" t="s">
        <v>4031</v>
      </c>
      <c r="L42" s="11" t="str">
        <f>HYPERLINK("http://slimages.macys.com/is/image/MCY/2594477 ")</f>
        <v xml:space="preserve">http://slimages.macys.com/is/image/MCY/2594477 </v>
      </c>
    </row>
    <row r="43" spans="1:12" ht="39.950000000000003" customHeight="1" x14ac:dyDescent="0.25">
      <c r="A43" s="6" t="s">
        <v>3209</v>
      </c>
      <c r="B43" s="7" t="s">
        <v>3210</v>
      </c>
      <c r="C43" s="8">
        <v>1</v>
      </c>
      <c r="D43" s="9">
        <v>59.99</v>
      </c>
      <c r="E43" s="8" t="s">
        <v>3211</v>
      </c>
      <c r="F43" s="7" t="s">
        <v>3498</v>
      </c>
      <c r="G43" s="10"/>
      <c r="H43" s="7" t="s">
        <v>3418</v>
      </c>
      <c r="I43" s="7" t="s">
        <v>4224</v>
      </c>
      <c r="J43" s="7" t="s">
        <v>3358</v>
      </c>
      <c r="K43" s="7" t="s">
        <v>3521</v>
      </c>
      <c r="L43" s="11" t="str">
        <f>HYPERLINK("http://slimages.macys.com/is/image/MCY/17667941 ")</f>
        <v xml:space="preserve">http://slimages.macys.com/is/image/MCY/17667941 </v>
      </c>
    </row>
    <row r="44" spans="1:12" ht="39.950000000000003" customHeight="1" x14ac:dyDescent="0.25">
      <c r="A44" s="6" t="s">
        <v>3670</v>
      </c>
      <c r="B44" s="7" t="s">
        <v>3671</v>
      </c>
      <c r="C44" s="8">
        <v>2</v>
      </c>
      <c r="D44" s="9">
        <v>139.97999999999999</v>
      </c>
      <c r="E44" s="8" t="s">
        <v>3672</v>
      </c>
      <c r="F44" s="7" t="s">
        <v>3673</v>
      </c>
      <c r="G44" s="10"/>
      <c r="H44" s="7" t="s">
        <v>3365</v>
      </c>
      <c r="I44" s="7" t="s">
        <v>3554</v>
      </c>
      <c r="J44" s="7" t="s">
        <v>3358</v>
      </c>
      <c r="K44" s="7"/>
      <c r="L44" s="11" t="str">
        <f>HYPERLINK("http://slimages.macys.com/is/image/MCY/10468060 ")</f>
        <v xml:space="preserve">http://slimages.macys.com/is/image/MCY/10468060 </v>
      </c>
    </row>
    <row r="45" spans="1:12" ht="39.950000000000003" customHeight="1" x14ac:dyDescent="0.25">
      <c r="A45" s="6" t="s">
        <v>1351</v>
      </c>
      <c r="B45" s="7" t="s">
        <v>1352</v>
      </c>
      <c r="C45" s="8">
        <v>1</v>
      </c>
      <c r="D45" s="9">
        <v>40.99</v>
      </c>
      <c r="E45" s="8" t="s">
        <v>1353</v>
      </c>
      <c r="F45" s="7" t="s">
        <v>3525</v>
      </c>
      <c r="G45" s="10"/>
      <c r="H45" s="7" t="s">
        <v>3372</v>
      </c>
      <c r="I45" s="7" t="s">
        <v>1354</v>
      </c>
      <c r="J45" s="7"/>
      <c r="K45" s="7"/>
      <c r="L45" s="11" t="str">
        <f>HYPERLINK("http://slimages.macys.com/is/image/MCY/18142331 ")</f>
        <v xml:space="preserve">http://slimages.macys.com/is/image/MCY/18142331 </v>
      </c>
    </row>
    <row r="46" spans="1:12" ht="39.950000000000003" customHeight="1" x14ac:dyDescent="0.25">
      <c r="A46" s="6" t="s">
        <v>1355</v>
      </c>
      <c r="B46" s="7" t="s">
        <v>1356</v>
      </c>
      <c r="C46" s="8">
        <v>2</v>
      </c>
      <c r="D46" s="9">
        <v>89.98</v>
      </c>
      <c r="E46" s="8" t="s">
        <v>1357</v>
      </c>
      <c r="F46" s="7" t="s">
        <v>4021</v>
      </c>
      <c r="G46" s="10"/>
      <c r="H46" s="7" t="s">
        <v>3515</v>
      </c>
      <c r="I46" s="7" t="s">
        <v>3436</v>
      </c>
      <c r="J46" s="7" t="s">
        <v>3358</v>
      </c>
      <c r="K46" s="7" t="s">
        <v>3484</v>
      </c>
      <c r="L46" s="11" t="str">
        <f>HYPERLINK("http://slimages.macys.com/is/image/MCY/11409030 ")</f>
        <v xml:space="preserve">http://slimages.macys.com/is/image/MCY/11409030 </v>
      </c>
    </row>
    <row r="47" spans="1:12" ht="39.950000000000003" customHeight="1" x14ac:dyDescent="0.25">
      <c r="A47" s="6" t="s">
        <v>1358</v>
      </c>
      <c r="B47" s="7" t="s">
        <v>1359</v>
      </c>
      <c r="C47" s="8">
        <v>1</v>
      </c>
      <c r="D47" s="9">
        <v>39.99</v>
      </c>
      <c r="E47" s="8">
        <v>22213238</v>
      </c>
      <c r="F47" s="7" t="s">
        <v>3525</v>
      </c>
      <c r="G47" s="10"/>
      <c r="H47" s="7" t="s">
        <v>3526</v>
      </c>
      <c r="I47" s="7" t="s">
        <v>3413</v>
      </c>
      <c r="J47" s="7"/>
      <c r="K47" s="7"/>
      <c r="L47" s="11" t="str">
        <f>HYPERLINK("http://slimages.macys.com/is/image/MCY/17177962 ")</f>
        <v xml:space="preserve">http://slimages.macys.com/is/image/MCY/17177962 </v>
      </c>
    </row>
    <row r="48" spans="1:12" ht="39.950000000000003" customHeight="1" x14ac:dyDescent="0.25">
      <c r="A48" s="6" t="s">
        <v>1360</v>
      </c>
      <c r="B48" s="7" t="s">
        <v>1361</v>
      </c>
      <c r="C48" s="8">
        <v>1</v>
      </c>
      <c r="D48" s="9">
        <v>35.99</v>
      </c>
      <c r="E48" s="8" t="s">
        <v>2907</v>
      </c>
      <c r="F48" s="7" t="s">
        <v>3525</v>
      </c>
      <c r="G48" s="10"/>
      <c r="H48" s="7" t="s">
        <v>3526</v>
      </c>
      <c r="I48" s="7" t="s">
        <v>4010</v>
      </c>
      <c r="J48" s="7" t="s">
        <v>3358</v>
      </c>
      <c r="K48" s="7" t="s">
        <v>4011</v>
      </c>
      <c r="L48" s="11" t="str">
        <f>HYPERLINK("http://slimages.macys.com/is/image/MCY/10721543 ")</f>
        <v xml:space="preserve">http://slimages.macys.com/is/image/MCY/10721543 </v>
      </c>
    </row>
    <row r="49" spans="1:12" ht="39.950000000000003" customHeight="1" x14ac:dyDescent="0.25">
      <c r="A49" s="6" t="s">
        <v>1362</v>
      </c>
      <c r="B49" s="7" t="s">
        <v>0</v>
      </c>
      <c r="C49" s="8">
        <v>1</v>
      </c>
      <c r="D49" s="9">
        <v>79.989999999999995</v>
      </c>
      <c r="E49" s="8" t="s">
        <v>1</v>
      </c>
      <c r="F49" s="7" t="s">
        <v>3363</v>
      </c>
      <c r="G49" s="10"/>
      <c r="H49" s="7" t="s">
        <v>3365</v>
      </c>
      <c r="I49" s="7" t="s">
        <v>3558</v>
      </c>
      <c r="J49" s="7"/>
      <c r="K49" s="7"/>
      <c r="L49" s="11" t="str">
        <f>HYPERLINK("http://slimages.macys.com/is/image/MCY/17481084 ")</f>
        <v xml:space="preserve">http://slimages.macys.com/is/image/MCY/17481084 </v>
      </c>
    </row>
    <row r="50" spans="1:12" ht="39.950000000000003" customHeight="1" x14ac:dyDescent="0.25">
      <c r="A50" s="6" t="s">
        <v>2</v>
      </c>
      <c r="B50" s="7" t="s">
        <v>3</v>
      </c>
      <c r="C50" s="8">
        <v>1</v>
      </c>
      <c r="D50" s="9">
        <v>47.99</v>
      </c>
      <c r="E50" s="8" t="s">
        <v>4</v>
      </c>
      <c r="F50" s="7" t="s">
        <v>3840</v>
      </c>
      <c r="G50" s="10"/>
      <c r="H50" s="7" t="s">
        <v>3492</v>
      </c>
      <c r="I50" s="7" t="s">
        <v>3841</v>
      </c>
      <c r="J50" s="7" t="s">
        <v>3358</v>
      </c>
      <c r="K50" s="7" t="s">
        <v>3506</v>
      </c>
      <c r="L50" s="11" t="str">
        <f>HYPERLINK("http://slimages.macys.com/is/image/MCY/11704643 ")</f>
        <v xml:space="preserve">http://slimages.macys.com/is/image/MCY/11704643 </v>
      </c>
    </row>
    <row r="51" spans="1:12" ht="39.950000000000003" customHeight="1" x14ac:dyDescent="0.25">
      <c r="A51" s="6" t="s">
        <v>5</v>
      </c>
      <c r="B51" s="7" t="s">
        <v>2036</v>
      </c>
      <c r="C51" s="8">
        <v>1</v>
      </c>
      <c r="D51" s="9">
        <v>39.99</v>
      </c>
      <c r="E51" s="8" t="s">
        <v>6</v>
      </c>
      <c r="F51" s="7" t="s">
        <v>3498</v>
      </c>
      <c r="G51" s="10"/>
      <c r="H51" s="7" t="s">
        <v>4165</v>
      </c>
      <c r="I51" s="7" t="s">
        <v>4166</v>
      </c>
      <c r="J51" s="7" t="s">
        <v>3692</v>
      </c>
      <c r="K51" s="7" t="s">
        <v>4167</v>
      </c>
      <c r="L51" s="11" t="str">
        <f>HYPERLINK("http://slimages.macys.com/is/image/MCY/9898874 ")</f>
        <v xml:space="preserve">http://slimages.macys.com/is/image/MCY/9898874 </v>
      </c>
    </row>
    <row r="52" spans="1:12" ht="39.950000000000003" customHeight="1" x14ac:dyDescent="0.25">
      <c r="A52" s="6" t="s">
        <v>7</v>
      </c>
      <c r="B52" s="7" t="s">
        <v>8</v>
      </c>
      <c r="C52" s="8">
        <v>1</v>
      </c>
      <c r="D52" s="9">
        <v>36.99</v>
      </c>
      <c r="E52" s="8" t="s">
        <v>9</v>
      </c>
      <c r="F52" s="7" t="s">
        <v>3525</v>
      </c>
      <c r="G52" s="10"/>
      <c r="H52" s="7" t="s">
        <v>3492</v>
      </c>
      <c r="I52" s="7" t="s">
        <v>3436</v>
      </c>
      <c r="J52" s="7" t="s">
        <v>3358</v>
      </c>
      <c r="K52" s="7" t="s">
        <v>10</v>
      </c>
      <c r="L52" s="11" t="str">
        <f>HYPERLINK("http://slimages.macys.com/is/image/MCY/16396934 ")</f>
        <v xml:space="preserve">http://slimages.macys.com/is/image/MCY/16396934 </v>
      </c>
    </row>
    <row r="53" spans="1:12" ht="39.950000000000003" customHeight="1" x14ac:dyDescent="0.25">
      <c r="A53" s="6" t="s">
        <v>11</v>
      </c>
      <c r="B53" s="7" t="s">
        <v>12</v>
      </c>
      <c r="C53" s="8">
        <v>1</v>
      </c>
      <c r="D53" s="9">
        <v>49.99</v>
      </c>
      <c r="E53" s="8" t="s">
        <v>13</v>
      </c>
      <c r="F53" s="7" t="s">
        <v>3531</v>
      </c>
      <c r="G53" s="10"/>
      <c r="H53" s="7" t="s">
        <v>3601</v>
      </c>
      <c r="I53" s="7" t="s">
        <v>3602</v>
      </c>
      <c r="J53" s="7" t="s">
        <v>3358</v>
      </c>
      <c r="K53" s="7" t="s">
        <v>3582</v>
      </c>
      <c r="L53" s="11" t="str">
        <f>HYPERLINK("http://slimages.macys.com/is/image/MCY/8432521 ")</f>
        <v xml:space="preserve">http://slimages.macys.com/is/image/MCY/8432521 </v>
      </c>
    </row>
    <row r="54" spans="1:12" ht="39.950000000000003" customHeight="1" x14ac:dyDescent="0.25">
      <c r="A54" s="6" t="s">
        <v>14</v>
      </c>
      <c r="B54" s="7" t="s">
        <v>15</v>
      </c>
      <c r="C54" s="8">
        <v>2</v>
      </c>
      <c r="D54" s="9">
        <v>79.98</v>
      </c>
      <c r="E54" s="8" t="s">
        <v>16</v>
      </c>
      <c r="F54" s="7" t="s">
        <v>17</v>
      </c>
      <c r="G54" s="10" t="s">
        <v>3532</v>
      </c>
      <c r="H54" s="7" t="s">
        <v>3482</v>
      </c>
      <c r="I54" s="7" t="s">
        <v>3618</v>
      </c>
      <c r="J54" s="7" t="s">
        <v>3358</v>
      </c>
      <c r="K54" s="7" t="s">
        <v>3619</v>
      </c>
      <c r="L54" s="11" t="str">
        <f>HYPERLINK("http://slimages.macys.com/is/image/MCY/15098992 ")</f>
        <v xml:space="preserve">http://slimages.macys.com/is/image/MCY/15098992 </v>
      </c>
    </row>
    <row r="55" spans="1:12" ht="39.950000000000003" customHeight="1" x14ac:dyDescent="0.25">
      <c r="A55" s="6" t="s">
        <v>18</v>
      </c>
      <c r="B55" s="7" t="s">
        <v>19</v>
      </c>
      <c r="C55" s="8">
        <v>1</v>
      </c>
      <c r="D55" s="9">
        <v>39.99</v>
      </c>
      <c r="E55" s="8" t="s">
        <v>20</v>
      </c>
      <c r="F55" s="7" t="s">
        <v>3668</v>
      </c>
      <c r="G55" s="10" t="s">
        <v>3947</v>
      </c>
      <c r="H55" s="7" t="s">
        <v>3492</v>
      </c>
      <c r="I55" s="7" t="s">
        <v>2774</v>
      </c>
      <c r="J55" s="7" t="s">
        <v>3379</v>
      </c>
      <c r="K55" s="7" t="s">
        <v>21</v>
      </c>
      <c r="L55" s="11" t="str">
        <f>HYPERLINK("http://slimages.macys.com/is/image/MCY/16368512 ")</f>
        <v xml:space="preserve">http://slimages.macys.com/is/image/MCY/16368512 </v>
      </c>
    </row>
    <row r="56" spans="1:12" ht="39.950000000000003" customHeight="1" x14ac:dyDescent="0.25">
      <c r="A56" s="6" t="s">
        <v>22</v>
      </c>
      <c r="B56" s="7" t="s">
        <v>23</v>
      </c>
      <c r="C56" s="8">
        <v>1</v>
      </c>
      <c r="D56" s="9">
        <v>39.99</v>
      </c>
      <c r="E56" s="8" t="s">
        <v>24</v>
      </c>
      <c r="F56" s="7" t="s">
        <v>3706</v>
      </c>
      <c r="G56" s="10" t="s">
        <v>3947</v>
      </c>
      <c r="H56" s="7" t="s">
        <v>3492</v>
      </c>
      <c r="I56" s="7" t="s">
        <v>2774</v>
      </c>
      <c r="J56" s="7" t="s">
        <v>3379</v>
      </c>
      <c r="K56" s="7" t="s">
        <v>21</v>
      </c>
      <c r="L56" s="11" t="str">
        <f>HYPERLINK("http://slimages.macys.com/is/image/MCY/16368378 ")</f>
        <v xml:space="preserve">http://slimages.macys.com/is/image/MCY/16368378 </v>
      </c>
    </row>
    <row r="57" spans="1:12" ht="39.950000000000003" customHeight="1" x14ac:dyDescent="0.25">
      <c r="A57" s="6" t="s">
        <v>25</v>
      </c>
      <c r="B57" s="7" t="s">
        <v>26</v>
      </c>
      <c r="C57" s="8">
        <v>1</v>
      </c>
      <c r="D57" s="9">
        <v>29.99</v>
      </c>
      <c r="E57" s="8">
        <v>63976</v>
      </c>
      <c r="F57" s="7" t="s">
        <v>3363</v>
      </c>
      <c r="G57" s="10"/>
      <c r="H57" s="7" t="s">
        <v>3388</v>
      </c>
      <c r="I57" s="7" t="s">
        <v>3389</v>
      </c>
      <c r="J57" s="7" t="s">
        <v>3379</v>
      </c>
      <c r="K57" s="7" t="s">
        <v>492</v>
      </c>
      <c r="L57" s="11" t="str">
        <f>HYPERLINK("http://slimages.macys.com/is/image/MCY/3181504 ")</f>
        <v xml:space="preserve">http://slimages.macys.com/is/image/MCY/3181504 </v>
      </c>
    </row>
    <row r="58" spans="1:12" ht="39.950000000000003" customHeight="1" x14ac:dyDescent="0.25">
      <c r="A58" s="6" t="s">
        <v>27</v>
      </c>
      <c r="B58" s="7" t="s">
        <v>28</v>
      </c>
      <c r="C58" s="8">
        <v>1</v>
      </c>
      <c r="D58" s="9">
        <v>29.99</v>
      </c>
      <c r="E58" s="8" t="s">
        <v>29</v>
      </c>
      <c r="F58" s="7" t="s">
        <v>3477</v>
      </c>
      <c r="G58" s="10"/>
      <c r="H58" s="7" t="s">
        <v>3526</v>
      </c>
      <c r="I58" s="7" t="s">
        <v>3527</v>
      </c>
      <c r="J58" s="7"/>
      <c r="K58" s="7"/>
      <c r="L58" s="11" t="str">
        <f>HYPERLINK("http://slimages.macys.com/is/image/MCY/17923602 ")</f>
        <v xml:space="preserve">http://slimages.macys.com/is/image/MCY/17923602 </v>
      </c>
    </row>
    <row r="59" spans="1:12" ht="39.950000000000003" customHeight="1" x14ac:dyDescent="0.25">
      <c r="A59" s="6" t="s">
        <v>357</v>
      </c>
      <c r="B59" s="7" t="s">
        <v>358</v>
      </c>
      <c r="C59" s="8">
        <v>2</v>
      </c>
      <c r="D59" s="9">
        <v>49.98</v>
      </c>
      <c r="E59" s="8" t="s">
        <v>359</v>
      </c>
      <c r="F59" s="7" t="s">
        <v>3363</v>
      </c>
      <c r="G59" s="10" t="s">
        <v>1706</v>
      </c>
      <c r="H59" s="7" t="s">
        <v>3427</v>
      </c>
      <c r="I59" s="7" t="s">
        <v>3682</v>
      </c>
      <c r="J59" s="7" t="s">
        <v>3358</v>
      </c>
      <c r="K59" s="7" t="s">
        <v>360</v>
      </c>
      <c r="L59" s="11" t="str">
        <f>HYPERLINK("http://slimages.macys.com/is/image/MCY/3663850 ")</f>
        <v xml:space="preserve">http://slimages.macys.com/is/image/MCY/3663850 </v>
      </c>
    </row>
    <row r="60" spans="1:12" ht="39.950000000000003" customHeight="1" x14ac:dyDescent="0.25">
      <c r="A60" s="6" t="s">
        <v>30</v>
      </c>
      <c r="B60" s="7" t="s">
        <v>31</v>
      </c>
      <c r="C60" s="8">
        <v>2</v>
      </c>
      <c r="D60" s="9">
        <v>49.98</v>
      </c>
      <c r="E60" s="8">
        <v>31101</v>
      </c>
      <c r="F60" s="7" t="s">
        <v>3514</v>
      </c>
      <c r="G60" s="10"/>
      <c r="H60" s="7" t="s">
        <v>3388</v>
      </c>
      <c r="I60" s="7" t="s">
        <v>3389</v>
      </c>
      <c r="J60" s="7" t="s">
        <v>3379</v>
      </c>
      <c r="K60" s="7" t="s">
        <v>32</v>
      </c>
      <c r="L60" s="11" t="str">
        <f>HYPERLINK("http://slimages.macys.com/is/image/MCY/16148734 ")</f>
        <v xml:space="preserve">http://slimages.macys.com/is/image/MCY/16148734 </v>
      </c>
    </row>
    <row r="61" spans="1:12" ht="39.950000000000003" customHeight="1" x14ac:dyDescent="0.25">
      <c r="A61" s="6" t="s">
        <v>33</v>
      </c>
      <c r="B61" s="7" t="s">
        <v>34</v>
      </c>
      <c r="C61" s="8">
        <v>1</v>
      </c>
      <c r="D61" s="9">
        <v>29.99</v>
      </c>
      <c r="E61" s="8" t="s">
        <v>35</v>
      </c>
      <c r="F61" s="7" t="s">
        <v>3363</v>
      </c>
      <c r="G61" s="10"/>
      <c r="H61" s="7" t="s">
        <v>3471</v>
      </c>
      <c r="I61" s="7" t="s">
        <v>3378</v>
      </c>
      <c r="J61" s="7" t="s">
        <v>3379</v>
      </c>
      <c r="K61" s="7"/>
      <c r="L61" s="11" t="str">
        <f>HYPERLINK("http://slimages.macys.com/is/image/MCY/12384987 ")</f>
        <v xml:space="preserve">http://slimages.macys.com/is/image/MCY/12384987 </v>
      </c>
    </row>
    <row r="62" spans="1:12" ht="39.950000000000003" customHeight="1" x14ac:dyDescent="0.25">
      <c r="A62" s="6" t="s">
        <v>36</v>
      </c>
      <c r="B62" s="7" t="s">
        <v>37</v>
      </c>
      <c r="C62" s="8">
        <v>1</v>
      </c>
      <c r="D62" s="9">
        <v>25.99</v>
      </c>
      <c r="E62" s="8">
        <v>2397</v>
      </c>
      <c r="F62" s="7" t="s">
        <v>3363</v>
      </c>
      <c r="G62" s="10" t="s">
        <v>3504</v>
      </c>
      <c r="H62" s="7" t="s">
        <v>3388</v>
      </c>
      <c r="I62" s="7" t="s">
        <v>38</v>
      </c>
      <c r="J62" s="7"/>
      <c r="K62" s="7"/>
      <c r="L62" s="11" t="str">
        <f>HYPERLINK("http://slimages.macys.com/is/image/MCY/16971469 ")</f>
        <v xml:space="preserve">http://slimages.macys.com/is/image/MCY/16971469 </v>
      </c>
    </row>
    <row r="63" spans="1:12" ht="39.950000000000003" customHeight="1" x14ac:dyDescent="0.25">
      <c r="A63" s="6" t="s">
        <v>2955</v>
      </c>
      <c r="B63" s="7" t="s">
        <v>2956</v>
      </c>
      <c r="C63" s="8">
        <v>1</v>
      </c>
      <c r="D63" s="9">
        <v>16.989999999999998</v>
      </c>
      <c r="E63" s="8">
        <v>202007</v>
      </c>
      <c r="F63" s="7" t="s">
        <v>3363</v>
      </c>
      <c r="G63" s="10"/>
      <c r="H63" s="7" t="s">
        <v>3388</v>
      </c>
      <c r="I63" s="7" t="s">
        <v>3423</v>
      </c>
      <c r="J63" s="7" t="s">
        <v>3358</v>
      </c>
      <c r="K63" s="7" t="s">
        <v>2957</v>
      </c>
      <c r="L63" s="11" t="str">
        <f>HYPERLINK("http://slimages.macys.com/is/image/MCY/16053943 ")</f>
        <v xml:space="preserve">http://slimages.macys.com/is/image/MCY/16053943 </v>
      </c>
    </row>
    <row r="64" spans="1:12" ht="39.950000000000003" customHeight="1" x14ac:dyDescent="0.25">
      <c r="A64" s="6" t="s">
        <v>39</v>
      </c>
      <c r="B64" s="7" t="s">
        <v>40</v>
      </c>
      <c r="C64" s="8">
        <v>1</v>
      </c>
      <c r="D64" s="9">
        <v>29.99</v>
      </c>
      <c r="E64" s="8" t="s">
        <v>41</v>
      </c>
      <c r="F64" s="7" t="s">
        <v>3384</v>
      </c>
      <c r="G64" s="10"/>
      <c r="H64" s="7" t="s">
        <v>3408</v>
      </c>
      <c r="I64" s="7" t="s">
        <v>3409</v>
      </c>
      <c r="J64" s="7" t="s">
        <v>3358</v>
      </c>
      <c r="K64" s="7"/>
      <c r="L64" s="11" t="str">
        <f>HYPERLINK("http://slimages.macys.com/is/image/MCY/15912153 ")</f>
        <v xml:space="preserve">http://slimages.macys.com/is/image/MCY/15912153 </v>
      </c>
    </row>
    <row r="65" spans="1:12" ht="39.950000000000003" customHeight="1" x14ac:dyDescent="0.25">
      <c r="A65" s="6" t="s">
        <v>42</v>
      </c>
      <c r="B65" s="7" t="s">
        <v>43</v>
      </c>
      <c r="C65" s="8">
        <v>1</v>
      </c>
      <c r="D65" s="9">
        <v>24.99</v>
      </c>
      <c r="E65" s="8" t="s">
        <v>44</v>
      </c>
      <c r="F65" s="7" t="s">
        <v>3363</v>
      </c>
      <c r="G65" s="10"/>
      <c r="H65" s="7" t="s">
        <v>3471</v>
      </c>
      <c r="I65" s="7" t="s">
        <v>3378</v>
      </c>
      <c r="J65" s="7" t="s">
        <v>3379</v>
      </c>
      <c r="K65" s="7"/>
      <c r="L65" s="11" t="str">
        <f>HYPERLINK("http://slimages.macys.com/is/image/MCY/12384987 ")</f>
        <v xml:space="preserve">http://slimages.macys.com/is/image/MCY/12384987 </v>
      </c>
    </row>
    <row r="66" spans="1:12" ht="36.75" x14ac:dyDescent="0.25">
      <c r="A66" s="6" t="s">
        <v>45</v>
      </c>
      <c r="B66" s="7" t="s">
        <v>46</v>
      </c>
      <c r="C66" s="8">
        <v>2</v>
      </c>
      <c r="D66" s="9">
        <v>39.979999999999997</v>
      </c>
      <c r="E66" s="8" t="s">
        <v>47</v>
      </c>
      <c r="F66" s="7" t="s">
        <v>3363</v>
      </c>
      <c r="G66" s="10"/>
      <c r="H66" s="7" t="s">
        <v>3471</v>
      </c>
      <c r="I66" s="7" t="s">
        <v>3378</v>
      </c>
      <c r="J66" s="7"/>
      <c r="K66" s="7"/>
      <c r="L66" s="11" t="str">
        <f>HYPERLINK("http://slimages.macys.com/is/image/MCY/18716099 ")</f>
        <v xml:space="preserve">http://slimages.macys.com/is/image/MCY/18716099 </v>
      </c>
    </row>
    <row r="67" spans="1:12" ht="24.75" x14ac:dyDescent="0.25">
      <c r="A67" s="6" t="s">
        <v>48</v>
      </c>
      <c r="B67" s="7" t="s">
        <v>49</v>
      </c>
      <c r="C67" s="8">
        <v>1</v>
      </c>
      <c r="D67" s="9">
        <v>15.99</v>
      </c>
      <c r="E67" s="8" t="s">
        <v>50</v>
      </c>
      <c r="F67" s="7" t="s">
        <v>3498</v>
      </c>
      <c r="G67" s="10" t="s">
        <v>3774</v>
      </c>
      <c r="H67" s="7" t="s">
        <v>3515</v>
      </c>
      <c r="I67" s="7" t="s">
        <v>3803</v>
      </c>
      <c r="J67" s="7" t="s">
        <v>3608</v>
      </c>
      <c r="K67" s="7" t="s">
        <v>3582</v>
      </c>
      <c r="L67" s="11" t="str">
        <f>HYPERLINK("http://slimages.macys.com/is/image/MCY/2779088 ")</f>
        <v xml:space="preserve">http://slimages.macys.com/is/image/MCY/2779088 </v>
      </c>
    </row>
    <row r="68" spans="1:12" ht="36.75" x14ac:dyDescent="0.25">
      <c r="A68" s="6" t="s">
        <v>2067</v>
      </c>
      <c r="B68" s="7" t="s">
        <v>2068</v>
      </c>
      <c r="C68" s="8">
        <v>1</v>
      </c>
      <c r="D68" s="9">
        <v>14.99</v>
      </c>
      <c r="E68" s="8" t="s">
        <v>2069</v>
      </c>
      <c r="F68" s="7" t="s">
        <v>3735</v>
      </c>
      <c r="G68" s="10" t="s">
        <v>3893</v>
      </c>
      <c r="H68" s="7" t="s">
        <v>3492</v>
      </c>
      <c r="I68" s="7" t="s">
        <v>4212</v>
      </c>
      <c r="J68" s="7"/>
      <c r="K68" s="7"/>
      <c r="L68" s="11" t="str">
        <f>HYPERLINK("http://slimages.macys.com/is/image/MCY/17620637 ")</f>
        <v xml:space="preserve">http://slimages.macys.com/is/image/MCY/17620637 </v>
      </c>
    </row>
    <row r="69" spans="1:12" ht="36.75" x14ac:dyDescent="0.25">
      <c r="A69" s="6" t="s">
        <v>51</v>
      </c>
      <c r="B69" s="7" t="s">
        <v>52</v>
      </c>
      <c r="C69" s="8">
        <v>1</v>
      </c>
      <c r="D69" s="9">
        <v>24.99</v>
      </c>
      <c r="E69" s="8" t="s">
        <v>53</v>
      </c>
      <c r="F69" s="7" t="s">
        <v>17</v>
      </c>
      <c r="G69" s="10" t="s">
        <v>3774</v>
      </c>
      <c r="H69" s="7" t="s">
        <v>3482</v>
      </c>
      <c r="I69" s="7" t="s">
        <v>3618</v>
      </c>
      <c r="J69" s="7" t="s">
        <v>3358</v>
      </c>
      <c r="K69" s="7" t="s">
        <v>3619</v>
      </c>
      <c r="L69" s="11" t="str">
        <f>HYPERLINK("http://slimages.macys.com/is/image/MCY/14322102 ")</f>
        <v xml:space="preserve">http://slimages.macys.com/is/image/MCY/14322102 </v>
      </c>
    </row>
    <row r="70" spans="1:12" ht="60.75" x14ac:dyDescent="0.25">
      <c r="A70" s="6" t="s">
        <v>910</v>
      </c>
      <c r="B70" s="7" t="s">
        <v>911</v>
      </c>
      <c r="C70" s="8">
        <v>1</v>
      </c>
      <c r="D70" s="9">
        <v>12.99</v>
      </c>
      <c r="E70" s="8">
        <v>63972</v>
      </c>
      <c r="F70" s="7" t="s">
        <v>3363</v>
      </c>
      <c r="G70" s="10"/>
      <c r="H70" s="7" t="s">
        <v>3388</v>
      </c>
      <c r="I70" s="7" t="s">
        <v>3389</v>
      </c>
      <c r="J70" s="7" t="s">
        <v>3379</v>
      </c>
      <c r="K70" s="7" t="s">
        <v>912</v>
      </c>
      <c r="L70" s="11" t="str">
        <f>HYPERLINK("http://slimages.macys.com/is/image/MCY/12926389 ")</f>
        <v xml:space="preserve">http://slimages.macys.com/is/image/MCY/12926389 </v>
      </c>
    </row>
    <row r="71" spans="1:12" ht="24.75" x14ac:dyDescent="0.25">
      <c r="A71" s="6" t="s">
        <v>2968</v>
      </c>
      <c r="B71" s="7" t="s">
        <v>2969</v>
      </c>
      <c r="C71" s="8">
        <v>1</v>
      </c>
      <c r="D71" s="9">
        <v>6.99</v>
      </c>
      <c r="E71" s="8" t="s">
        <v>2970</v>
      </c>
      <c r="F71" s="7" t="s">
        <v>3363</v>
      </c>
      <c r="G71" s="10" t="s">
        <v>3774</v>
      </c>
      <c r="H71" s="7" t="s">
        <v>3372</v>
      </c>
      <c r="I71" s="7" t="s">
        <v>3803</v>
      </c>
      <c r="J71" s="7"/>
      <c r="K71" s="7"/>
      <c r="L71" s="11" t="str">
        <f>HYPERLINK("http://slimages.macys.com/is/image/MCY/17309974 ")</f>
        <v xml:space="preserve">http://slimages.macys.com/is/image/MCY/17309974 </v>
      </c>
    </row>
    <row r="72" spans="1:12" ht="24.75" x14ac:dyDescent="0.25">
      <c r="A72" s="6" t="s">
        <v>3540</v>
      </c>
      <c r="B72" s="7" t="s">
        <v>3541</v>
      </c>
      <c r="C72" s="8">
        <v>2</v>
      </c>
      <c r="D72" s="9">
        <v>80</v>
      </c>
      <c r="E72" s="8"/>
      <c r="F72" s="7" t="s">
        <v>3542</v>
      </c>
      <c r="G72" s="10" t="s">
        <v>3504</v>
      </c>
      <c r="H72" s="7" t="s">
        <v>3543</v>
      </c>
      <c r="I72" s="7" t="s">
        <v>3544</v>
      </c>
      <c r="J72" s="7"/>
      <c r="K72" s="7"/>
      <c r="L72" s="11"/>
    </row>
  </sheetData>
  <phoneticPr fontId="0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7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54</v>
      </c>
      <c r="B2" s="7" t="s">
        <v>55</v>
      </c>
      <c r="C2" s="8">
        <v>1</v>
      </c>
      <c r="D2" s="9">
        <v>329.99</v>
      </c>
      <c r="E2" s="8" t="s">
        <v>56</v>
      </c>
      <c r="F2" s="7" t="s">
        <v>3701</v>
      </c>
      <c r="G2" s="10"/>
      <c r="H2" s="7" t="s">
        <v>3876</v>
      </c>
      <c r="I2" s="7" t="s">
        <v>3894</v>
      </c>
      <c r="J2" s="7" t="s">
        <v>3358</v>
      </c>
      <c r="K2" s="7" t="s">
        <v>4098</v>
      </c>
      <c r="L2" s="11" t="str">
        <f>HYPERLINK("http://slimages.macys.com/is/image/MCY/9418451 ")</f>
        <v xml:space="preserve">http://slimages.macys.com/is/image/MCY/9418451 </v>
      </c>
    </row>
    <row r="3" spans="1:12" ht="39.950000000000003" customHeight="1" x14ac:dyDescent="0.25">
      <c r="A3" s="6" t="s">
        <v>1113</v>
      </c>
      <c r="B3" s="7" t="s">
        <v>1114</v>
      </c>
      <c r="C3" s="8">
        <v>1</v>
      </c>
      <c r="D3" s="9">
        <v>214.99</v>
      </c>
      <c r="E3" s="8" t="s">
        <v>1115</v>
      </c>
      <c r="F3" s="7" t="s">
        <v>3525</v>
      </c>
      <c r="G3" s="10"/>
      <c r="H3" s="7" t="s">
        <v>3356</v>
      </c>
      <c r="I3" s="7" t="s">
        <v>3436</v>
      </c>
      <c r="J3" s="7"/>
      <c r="K3" s="7"/>
      <c r="L3" s="11" t="str">
        <f>HYPERLINK("http://slimages.macys.com/is/image/MCY/17336001 ")</f>
        <v xml:space="preserve">http://slimages.macys.com/is/image/MCY/17336001 </v>
      </c>
    </row>
    <row r="4" spans="1:12" ht="39.950000000000003" customHeight="1" x14ac:dyDescent="0.25">
      <c r="A4" s="6" t="s">
        <v>3550</v>
      </c>
      <c r="B4" s="7" t="s">
        <v>3551</v>
      </c>
      <c r="C4" s="8">
        <v>1</v>
      </c>
      <c r="D4" s="9">
        <v>249.99</v>
      </c>
      <c r="E4" s="8" t="s">
        <v>3552</v>
      </c>
      <c r="F4" s="7" t="s">
        <v>3553</v>
      </c>
      <c r="G4" s="10"/>
      <c r="H4" s="7" t="s">
        <v>3365</v>
      </c>
      <c r="I4" s="7" t="s">
        <v>3554</v>
      </c>
      <c r="J4" s="7" t="s">
        <v>3358</v>
      </c>
      <c r="K4" s="7"/>
      <c r="L4" s="11" t="str">
        <f>HYPERLINK("http://slimages.macys.com/is/image/MCY/12898898 ")</f>
        <v xml:space="preserve">http://slimages.macys.com/is/image/MCY/12898898 </v>
      </c>
    </row>
    <row r="5" spans="1:12" ht="39.950000000000003" customHeight="1" x14ac:dyDescent="0.25">
      <c r="A5" s="6" t="s">
        <v>2412</v>
      </c>
      <c r="B5" s="7" t="s">
        <v>2413</v>
      </c>
      <c r="C5" s="8">
        <v>1</v>
      </c>
      <c r="D5" s="9">
        <v>244.99</v>
      </c>
      <c r="E5" s="8" t="s">
        <v>2414</v>
      </c>
      <c r="F5" s="7" t="s">
        <v>3498</v>
      </c>
      <c r="G5" s="10"/>
      <c r="H5" s="7" t="s">
        <v>3412</v>
      </c>
      <c r="I5" s="7" t="s">
        <v>3436</v>
      </c>
      <c r="J5" s="7" t="s">
        <v>3358</v>
      </c>
      <c r="K5" s="7" t="s">
        <v>2415</v>
      </c>
      <c r="L5" s="11" t="str">
        <f>HYPERLINK("http://slimages.macys.com/is/image/MCY/9536375 ")</f>
        <v xml:space="preserve">http://slimages.macys.com/is/image/MCY/9536375 </v>
      </c>
    </row>
    <row r="6" spans="1:12" ht="39.950000000000003" customHeight="1" x14ac:dyDescent="0.25">
      <c r="A6" s="6" t="s">
        <v>57</v>
      </c>
      <c r="B6" s="7" t="s">
        <v>58</v>
      </c>
      <c r="C6" s="8">
        <v>1</v>
      </c>
      <c r="D6" s="9">
        <v>78.11</v>
      </c>
      <c r="E6" s="8" t="s">
        <v>59</v>
      </c>
      <c r="F6" s="7"/>
      <c r="G6" s="10"/>
      <c r="H6" s="7" t="s">
        <v>3365</v>
      </c>
      <c r="I6" s="7" t="s">
        <v>3554</v>
      </c>
      <c r="J6" s="7" t="s">
        <v>3358</v>
      </c>
      <c r="K6" s="7"/>
      <c r="L6" s="11" t="str">
        <f>HYPERLINK("http://slimages.macys.com/is/image/MCY/8453058 ")</f>
        <v xml:space="preserve">http://slimages.macys.com/is/image/MCY/8453058 </v>
      </c>
    </row>
    <row r="7" spans="1:12" ht="39.950000000000003" customHeight="1" x14ac:dyDescent="0.25">
      <c r="A7" s="6" t="s">
        <v>60</v>
      </c>
      <c r="B7" s="7" t="s">
        <v>61</v>
      </c>
      <c r="C7" s="8">
        <v>1</v>
      </c>
      <c r="D7" s="9">
        <v>199.99</v>
      </c>
      <c r="E7" s="8" t="s">
        <v>62</v>
      </c>
      <c r="F7" s="7" t="s">
        <v>3363</v>
      </c>
      <c r="G7" s="10"/>
      <c r="H7" s="7" t="s">
        <v>3388</v>
      </c>
      <c r="I7" s="7" t="s">
        <v>3461</v>
      </c>
      <c r="J7" s="7"/>
      <c r="K7" s="7"/>
      <c r="L7" s="11" t="str">
        <f>HYPERLINK("http://slimages.macys.com/is/image/MCY/17546249 ")</f>
        <v xml:space="preserve">http://slimages.macys.com/is/image/MCY/17546249 </v>
      </c>
    </row>
    <row r="8" spans="1:12" ht="39.950000000000003" customHeight="1" x14ac:dyDescent="0.25">
      <c r="A8" s="6" t="s">
        <v>63</v>
      </c>
      <c r="B8" s="7" t="s">
        <v>64</v>
      </c>
      <c r="C8" s="8">
        <v>1</v>
      </c>
      <c r="D8" s="9">
        <v>179.99</v>
      </c>
      <c r="E8" s="8">
        <v>21648322</v>
      </c>
      <c r="F8" s="7" t="s">
        <v>3498</v>
      </c>
      <c r="G8" s="10"/>
      <c r="H8" s="7" t="s">
        <v>3412</v>
      </c>
      <c r="I8" s="7" t="s">
        <v>3413</v>
      </c>
      <c r="J8" s="7" t="s">
        <v>3358</v>
      </c>
      <c r="K8" s="7" t="s">
        <v>3506</v>
      </c>
      <c r="L8" s="11" t="str">
        <f>HYPERLINK("http://slimages.macys.com/is/image/MCY/15809910 ")</f>
        <v xml:space="preserve">http://slimages.macys.com/is/image/MCY/15809910 </v>
      </c>
    </row>
    <row r="9" spans="1:12" ht="39.950000000000003" customHeight="1" x14ac:dyDescent="0.25">
      <c r="A9" s="6" t="s">
        <v>1246</v>
      </c>
      <c r="B9" s="7" t="s">
        <v>1247</v>
      </c>
      <c r="C9" s="8">
        <v>1</v>
      </c>
      <c r="D9" s="9">
        <v>179.99</v>
      </c>
      <c r="E9" s="8">
        <v>22326222</v>
      </c>
      <c r="F9" s="7" t="s">
        <v>3477</v>
      </c>
      <c r="G9" s="10"/>
      <c r="H9" s="7" t="s">
        <v>3412</v>
      </c>
      <c r="I9" s="7" t="s">
        <v>3413</v>
      </c>
      <c r="J9" s="7" t="s">
        <v>3358</v>
      </c>
      <c r="K9" s="7" t="s">
        <v>3506</v>
      </c>
      <c r="L9" s="11" t="str">
        <f>HYPERLINK("http://slimages.macys.com/is/image/MCY/16688594 ")</f>
        <v xml:space="preserve">http://slimages.macys.com/is/image/MCY/16688594 </v>
      </c>
    </row>
    <row r="10" spans="1:12" ht="39.950000000000003" customHeight="1" x14ac:dyDescent="0.25">
      <c r="A10" s="6" t="s">
        <v>65</v>
      </c>
      <c r="B10" s="7" t="s">
        <v>66</v>
      </c>
      <c r="C10" s="8">
        <v>1</v>
      </c>
      <c r="D10" s="9">
        <v>179.99</v>
      </c>
      <c r="E10" s="8">
        <v>21648222</v>
      </c>
      <c r="F10" s="7" t="s">
        <v>3498</v>
      </c>
      <c r="G10" s="10"/>
      <c r="H10" s="7" t="s">
        <v>3412</v>
      </c>
      <c r="I10" s="7" t="s">
        <v>3413</v>
      </c>
      <c r="J10" s="7" t="s">
        <v>3358</v>
      </c>
      <c r="K10" s="7" t="s">
        <v>3506</v>
      </c>
      <c r="L10" s="11" t="str">
        <f>HYPERLINK("http://slimages.macys.com/is/image/MCY/15809910 ")</f>
        <v xml:space="preserve">http://slimages.macys.com/is/image/MCY/15809910 </v>
      </c>
    </row>
    <row r="11" spans="1:12" ht="39.950000000000003" customHeight="1" x14ac:dyDescent="0.25">
      <c r="A11" s="6" t="s">
        <v>67</v>
      </c>
      <c r="B11" s="7" t="s">
        <v>68</v>
      </c>
      <c r="C11" s="8">
        <v>1</v>
      </c>
      <c r="D11" s="9">
        <v>144.99</v>
      </c>
      <c r="E11" s="8" t="s">
        <v>69</v>
      </c>
      <c r="F11" s="7" t="s">
        <v>3363</v>
      </c>
      <c r="G11" s="10"/>
      <c r="H11" s="7" t="s">
        <v>3422</v>
      </c>
      <c r="I11" s="7" t="s">
        <v>70</v>
      </c>
      <c r="J11" s="7" t="s">
        <v>3358</v>
      </c>
      <c r="K11" s="7" t="s">
        <v>71</v>
      </c>
      <c r="L11" s="11" t="str">
        <f>HYPERLINK("http://slimages.macys.com/is/image/MCY/11503243 ")</f>
        <v xml:space="preserve">http://slimages.macys.com/is/image/MCY/11503243 </v>
      </c>
    </row>
    <row r="12" spans="1:12" ht="39.950000000000003" customHeight="1" x14ac:dyDescent="0.25">
      <c r="A12" s="6" t="s">
        <v>72</v>
      </c>
      <c r="B12" s="7" t="s">
        <v>73</v>
      </c>
      <c r="C12" s="8">
        <v>1</v>
      </c>
      <c r="D12" s="9">
        <v>133.99</v>
      </c>
      <c r="E12" s="8" t="s">
        <v>74</v>
      </c>
      <c r="F12" s="7" t="s">
        <v>3904</v>
      </c>
      <c r="G12" s="10"/>
      <c r="H12" s="7" t="s">
        <v>3492</v>
      </c>
      <c r="I12" s="7" t="s">
        <v>3669</v>
      </c>
      <c r="J12" s="7" t="s">
        <v>3358</v>
      </c>
      <c r="K12" s="7" t="s">
        <v>3506</v>
      </c>
      <c r="L12" s="11" t="str">
        <f>HYPERLINK("http://slimages.macys.com/is/image/MCY/10005120 ")</f>
        <v xml:space="preserve">http://slimages.macys.com/is/image/MCY/10005120 </v>
      </c>
    </row>
    <row r="13" spans="1:12" ht="39.950000000000003" customHeight="1" x14ac:dyDescent="0.25">
      <c r="A13" s="6" t="s">
        <v>75</v>
      </c>
      <c r="B13" s="7" t="s">
        <v>76</v>
      </c>
      <c r="C13" s="8">
        <v>1</v>
      </c>
      <c r="D13" s="9">
        <v>269.99</v>
      </c>
      <c r="E13" s="8" t="s">
        <v>77</v>
      </c>
      <c r="F13" s="7" t="s">
        <v>3355</v>
      </c>
      <c r="G13" s="10"/>
      <c r="H13" s="7" t="s">
        <v>3365</v>
      </c>
      <c r="I13" s="7" t="s">
        <v>3366</v>
      </c>
      <c r="J13" s="7" t="s">
        <v>3358</v>
      </c>
      <c r="K13" s="7" t="s">
        <v>78</v>
      </c>
      <c r="L13" s="11" t="str">
        <f>HYPERLINK("http://slimages.macys.com/is/image/MCY/15604029 ")</f>
        <v xml:space="preserve">http://slimages.macys.com/is/image/MCY/15604029 </v>
      </c>
    </row>
    <row r="14" spans="1:12" ht="39.950000000000003" customHeight="1" x14ac:dyDescent="0.25">
      <c r="A14" s="6" t="s">
        <v>79</v>
      </c>
      <c r="B14" s="7" t="s">
        <v>2997</v>
      </c>
      <c r="C14" s="8">
        <v>1</v>
      </c>
      <c r="D14" s="9">
        <v>124.99</v>
      </c>
      <c r="E14" s="8" t="s">
        <v>80</v>
      </c>
      <c r="F14" s="7" t="s">
        <v>3363</v>
      </c>
      <c r="G14" s="10"/>
      <c r="H14" s="7" t="s">
        <v>3422</v>
      </c>
      <c r="I14" s="7" t="s">
        <v>3423</v>
      </c>
      <c r="J14" s="7"/>
      <c r="K14" s="7"/>
      <c r="L14" s="11" t="str">
        <f>HYPERLINK("http://slimages.macys.com/is/image/MCY/17251791 ")</f>
        <v xml:space="preserve">http://slimages.macys.com/is/image/MCY/17251791 </v>
      </c>
    </row>
    <row r="15" spans="1:12" ht="39.950000000000003" customHeight="1" x14ac:dyDescent="0.25">
      <c r="A15" s="6" t="s">
        <v>81</v>
      </c>
      <c r="B15" s="7" t="s">
        <v>82</v>
      </c>
      <c r="C15" s="8">
        <v>1</v>
      </c>
      <c r="D15" s="9">
        <v>99.99</v>
      </c>
      <c r="E15" s="8">
        <v>203270</v>
      </c>
      <c r="F15" s="7" t="s">
        <v>3363</v>
      </c>
      <c r="G15" s="10"/>
      <c r="H15" s="7" t="s">
        <v>3397</v>
      </c>
      <c r="I15" s="7" t="s">
        <v>3585</v>
      </c>
      <c r="J15" s="7" t="s">
        <v>3358</v>
      </c>
      <c r="K15" s="7" t="s">
        <v>3586</v>
      </c>
      <c r="L15" s="11" t="str">
        <f>HYPERLINK("http://slimages.macys.com/is/image/MCY/15729569 ")</f>
        <v xml:space="preserve">http://slimages.macys.com/is/image/MCY/15729569 </v>
      </c>
    </row>
    <row r="16" spans="1:12" ht="39.950000000000003" customHeight="1" x14ac:dyDescent="0.25">
      <c r="A16" s="6" t="s">
        <v>83</v>
      </c>
      <c r="B16" s="7" t="s">
        <v>84</v>
      </c>
      <c r="C16" s="8">
        <v>1</v>
      </c>
      <c r="D16" s="9">
        <v>139.99</v>
      </c>
      <c r="E16" s="8" t="s">
        <v>85</v>
      </c>
      <c r="F16" s="7" t="s">
        <v>3673</v>
      </c>
      <c r="G16" s="10"/>
      <c r="H16" s="7" t="s">
        <v>3601</v>
      </c>
      <c r="I16" s="7" t="s">
        <v>3602</v>
      </c>
      <c r="J16" s="7" t="s">
        <v>3358</v>
      </c>
      <c r="K16" s="7" t="s">
        <v>4282</v>
      </c>
      <c r="L16" s="11" t="str">
        <f>HYPERLINK("http://slimages.macys.com/is/image/MCY/14718549 ")</f>
        <v xml:space="preserve">http://slimages.macys.com/is/image/MCY/14718549 </v>
      </c>
    </row>
    <row r="17" spans="1:12" ht="39.950000000000003" customHeight="1" x14ac:dyDescent="0.25">
      <c r="A17" s="6" t="s">
        <v>2658</v>
      </c>
      <c r="B17" s="7" t="s">
        <v>2659</v>
      </c>
      <c r="C17" s="8">
        <v>1</v>
      </c>
      <c r="D17" s="9">
        <v>109.99</v>
      </c>
      <c r="E17" s="8" t="s">
        <v>2660</v>
      </c>
      <c r="F17" s="7"/>
      <c r="G17" s="10"/>
      <c r="H17" s="7" t="s">
        <v>3412</v>
      </c>
      <c r="I17" s="7" t="s">
        <v>3436</v>
      </c>
      <c r="J17" s="7"/>
      <c r="K17" s="7"/>
      <c r="L17" s="11" t="str">
        <f>HYPERLINK("http://slimages.macys.com/is/image/MCY/17900439 ")</f>
        <v xml:space="preserve">http://slimages.macys.com/is/image/MCY/17900439 </v>
      </c>
    </row>
    <row r="18" spans="1:12" ht="39.950000000000003" customHeight="1" x14ac:dyDescent="0.25">
      <c r="A18" s="6" t="s">
        <v>86</v>
      </c>
      <c r="B18" s="7" t="s">
        <v>87</v>
      </c>
      <c r="C18" s="8">
        <v>1</v>
      </c>
      <c r="D18" s="9">
        <v>139.99</v>
      </c>
      <c r="E18" s="8" t="s">
        <v>88</v>
      </c>
      <c r="F18" s="7" t="s">
        <v>3735</v>
      </c>
      <c r="G18" s="10" t="s">
        <v>3364</v>
      </c>
      <c r="H18" s="7" t="s">
        <v>3658</v>
      </c>
      <c r="I18" s="7" t="s">
        <v>3659</v>
      </c>
      <c r="J18" s="7" t="s">
        <v>3358</v>
      </c>
      <c r="K18" s="7" t="s">
        <v>89</v>
      </c>
      <c r="L18" s="11" t="str">
        <f>HYPERLINK("http://slimages.macys.com/is/image/MCY/14426327 ")</f>
        <v xml:space="preserve">http://slimages.macys.com/is/image/MCY/14426327 </v>
      </c>
    </row>
    <row r="19" spans="1:12" ht="39.950000000000003" customHeight="1" x14ac:dyDescent="0.25">
      <c r="A19" s="6" t="s">
        <v>90</v>
      </c>
      <c r="B19" s="7" t="s">
        <v>91</v>
      </c>
      <c r="C19" s="8">
        <v>1</v>
      </c>
      <c r="D19" s="9">
        <v>104.99</v>
      </c>
      <c r="E19" s="8">
        <v>4202</v>
      </c>
      <c r="F19" s="7" t="s">
        <v>3503</v>
      </c>
      <c r="G19" s="10"/>
      <c r="H19" s="7" t="s">
        <v>3422</v>
      </c>
      <c r="I19" s="7" t="s">
        <v>3423</v>
      </c>
      <c r="J19" s="7" t="s">
        <v>3358</v>
      </c>
      <c r="K19" s="7" t="s">
        <v>3484</v>
      </c>
      <c r="L19" s="11" t="str">
        <f>HYPERLINK("http://slimages.macys.com/is/image/MCY/14617974 ")</f>
        <v xml:space="preserve">http://slimages.macys.com/is/image/MCY/14617974 </v>
      </c>
    </row>
    <row r="20" spans="1:12" ht="39.950000000000003" customHeight="1" x14ac:dyDescent="0.25">
      <c r="A20" s="6" t="s">
        <v>92</v>
      </c>
      <c r="B20" s="7" t="s">
        <v>93</v>
      </c>
      <c r="C20" s="8">
        <v>1</v>
      </c>
      <c r="D20" s="9">
        <v>108.99</v>
      </c>
      <c r="E20" s="8" t="s">
        <v>94</v>
      </c>
      <c r="F20" s="7" t="s">
        <v>3498</v>
      </c>
      <c r="G20" s="10"/>
      <c r="H20" s="7" t="s">
        <v>3492</v>
      </c>
      <c r="I20" s="7" t="s">
        <v>3436</v>
      </c>
      <c r="J20" s="7" t="s">
        <v>3358</v>
      </c>
      <c r="K20" s="7"/>
      <c r="L20" s="11" t="str">
        <f>HYPERLINK("http://slimages.macys.com/is/image/MCY/9473118 ")</f>
        <v xml:space="preserve">http://slimages.macys.com/is/image/MCY/9473118 </v>
      </c>
    </row>
    <row r="21" spans="1:12" ht="39.950000000000003" customHeight="1" x14ac:dyDescent="0.25">
      <c r="A21" s="6" t="s">
        <v>95</v>
      </c>
      <c r="B21" s="7" t="s">
        <v>96</v>
      </c>
      <c r="C21" s="8">
        <v>1</v>
      </c>
      <c r="D21" s="9">
        <v>79.989999999999995</v>
      </c>
      <c r="E21" s="8" t="s">
        <v>97</v>
      </c>
      <c r="F21" s="7" t="s">
        <v>3363</v>
      </c>
      <c r="G21" s="10" t="s">
        <v>2914</v>
      </c>
      <c r="H21" s="7" t="s">
        <v>3356</v>
      </c>
      <c r="I21" s="7" t="s">
        <v>3436</v>
      </c>
      <c r="J21" s="7"/>
      <c r="K21" s="7"/>
      <c r="L21" s="11" t="str">
        <f>HYPERLINK("http://slimages.macys.com/is/image/MCY/17532065 ")</f>
        <v xml:space="preserve">http://slimages.macys.com/is/image/MCY/17532065 </v>
      </c>
    </row>
    <row r="22" spans="1:12" ht="39.950000000000003" customHeight="1" x14ac:dyDescent="0.25">
      <c r="A22" s="6" t="s">
        <v>98</v>
      </c>
      <c r="B22" s="7" t="s">
        <v>99</v>
      </c>
      <c r="C22" s="8">
        <v>1</v>
      </c>
      <c r="D22" s="9">
        <v>84.99</v>
      </c>
      <c r="E22" s="8" t="s">
        <v>100</v>
      </c>
      <c r="F22" s="7" t="s">
        <v>4219</v>
      </c>
      <c r="G22" s="10"/>
      <c r="H22" s="7" t="s">
        <v>3356</v>
      </c>
      <c r="I22" s="7" t="s">
        <v>3436</v>
      </c>
      <c r="J22" s="7" t="s">
        <v>3358</v>
      </c>
      <c r="K22" s="7" t="s">
        <v>101</v>
      </c>
      <c r="L22" s="11" t="str">
        <f>HYPERLINK("http://slimages.macys.com/is/image/MCY/8081942 ")</f>
        <v xml:space="preserve">http://slimages.macys.com/is/image/MCY/8081942 </v>
      </c>
    </row>
    <row r="23" spans="1:12" ht="39.950000000000003" customHeight="1" x14ac:dyDescent="0.25">
      <c r="A23" s="6" t="s">
        <v>102</v>
      </c>
      <c r="B23" s="7" t="s">
        <v>103</v>
      </c>
      <c r="C23" s="8">
        <v>1</v>
      </c>
      <c r="D23" s="9">
        <v>96.99</v>
      </c>
      <c r="E23" s="8" t="s">
        <v>104</v>
      </c>
      <c r="F23" s="7" t="s">
        <v>3407</v>
      </c>
      <c r="G23" s="10"/>
      <c r="H23" s="7" t="s">
        <v>3412</v>
      </c>
      <c r="I23" s="7" t="s">
        <v>2493</v>
      </c>
      <c r="J23" s="7" t="s">
        <v>3358</v>
      </c>
      <c r="K23" s="7" t="s">
        <v>3901</v>
      </c>
      <c r="L23" s="11" t="str">
        <f>HYPERLINK("http://slimages.macys.com/is/image/MCY/12745116 ")</f>
        <v xml:space="preserve">http://slimages.macys.com/is/image/MCY/12745116 </v>
      </c>
    </row>
    <row r="24" spans="1:12" ht="39.950000000000003" customHeight="1" x14ac:dyDescent="0.25">
      <c r="A24" s="6" t="s">
        <v>105</v>
      </c>
      <c r="B24" s="7" t="s">
        <v>106</v>
      </c>
      <c r="C24" s="8">
        <v>1</v>
      </c>
      <c r="D24" s="9">
        <v>119.99</v>
      </c>
      <c r="E24" s="8" t="s">
        <v>107</v>
      </c>
      <c r="F24" s="7" t="s">
        <v>3384</v>
      </c>
      <c r="G24" s="10"/>
      <c r="H24" s="7" t="s">
        <v>3408</v>
      </c>
      <c r="I24" s="7" t="s">
        <v>3409</v>
      </c>
      <c r="J24" s="7" t="s">
        <v>3358</v>
      </c>
      <c r="K24" s="7" t="s">
        <v>108</v>
      </c>
      <c r="L24" s="11" t="str">
        <f>HYPERLINK("http://slimages.macys.com/is/image/MCY/16633328 ")</f>
        <v xml:space="preserve">http://slimages.macys.com/is/image/MCY/16633328 </v>
      </c>
    </row>
    <row r="25" spans="1:12" ht="39.950000000000003" customHeight="1" x14ac:dyDescent="0.25">
      <c r="A25" s="6" t="s">
        <v>109</v>
      </c>
      <c r="B25" s="7" t="s">
        <v>110</v>
      </c>
      <c r="C25" s="8">
        <v>1</v>
      </c>
      <c r="D25" s="9">
        <v>119.99</v>
      </c>
      <c r="E25" s="8" t="s">
        <v>111</v>
      </c>
      <c r="F25" s="7" t="s">
        <v>3525</v>
      </c>
      <c r="G25" s="10"/>
      <c r="H25" s="7" t="s">
        <v>3658</v>
      </c>
      <c r="I25" s="7" t="s">
        <v>3659</v>
      </c>
      <c r="J25" s="7"/>
      <c r="K25" s="7"/>
      <c r="L25" s="11" t="str">
        <f>HYPERLINK("http://slimages.macys.com/is/image/MCY/17531037 ")</f>
        <v xml:space="preserve">http://slimages.macys.com/is/image/MCY/17531037 </v>
      </c>
    </row>
    <row r="26" spans="1:12" ht="39.950000000000003" customHeight="1" x14ac:dyDescent="0.25">
      <c r="A26" s="6" t="s">
        <v>112</v>
      </c>
      <c r="B26" s="7" t="s">
        <v>113</v>
      </c>
      <c r="C26" s="8">
        <v>1</v>
      </c>
      <c r="D26" s="9">
        <v>79.989999999999995</v>
      </c>
      <c r="E26" s="8" t="s">
        <v>114</v>
      </c>
      <c r="F26" s="7" t="s">
        <v>3802</v>
      </c>
      <c r="G26" s="10"/>
      <c r="H26" s="7" t="s">
        <v>3356</v>
      </c>
      <c r="I26" s="7" t="s">
        <v>2876</v>
      </c>
      <c r="J26" s="7" t="s">
        <v>3358</v>
      </c>
      <c r="K26" s="7" t="s">
        <v>3390</v>
      </c>
      <c r="L26" s="11" t="str">
        <f>HYPERLINK("http://slimages.macys.com/is/image/MCY/3813833 ")</f>
        <v xml:space="preserve">http://slimages.macys.com/is/image/MCY/3813833 </v>
      </c>
    </row>
    <row r="27" spans="1:12" ht="39.950000000000003" customHeight="1" x14ac:dyDescent="0.25">
      <c r="A27" s="6" t="s">
        <v>972</v>
      </c>
      <c r="B27" s="7" t="s">
        <v>973</v>
      </c>
      <c r="C27" s="8">
        <v>1</v>
      </c>
      <c r="D27" s="9">
        <v>59.99</v>
      </c>
      <c r="E27" s="8" t="s">
        <v>974</v>
      </c>
      <c r="F27" s="7" t="s">
        <v>3498</v>
      </c>
      <c r="G27" s="10"/>
      <c r="H27" s="7" t="s">
        <v>3526</v>
      </c>
      <c r="I27" s="7" t="s">
        <v>3865</v>
      </c>
      <c r="J27" s="7" t="s">
        <v>3358</v>
      </c>
      <c r="K27" s="7" t="s">
        <v>4002</v>
      </c>
      <c r="L27" s="11" t="str">
        <f>HYPERLINK("http://slimages.macys.com/is/image/MCY/13036438 ")</f>
        <v xml:space="preserve">http://slimages.macys.com/is/image/MCY/13036438 </v>
      </c>
    </row>
    <row r="28" spans="1:12" ht="39.950000000000003" customHeight="1" x14ac:dyDescent="0.25">
      <c r="A28" s="6" t="s">
        <v>115</v>
      </c>
      <c r="B28" s="7" t="s">
        <v>116</v>
      </c>
      <c r="C28" s="8">
        <v>1</v>
      </c>
      <c r="D28" s="9">
        <v>85.99</v>
      </c>
      <c r="E28" s="8" t="s">
        <v>117</v>
      </c>
      <c r="F28" s="7" t="s">
        <v>3600</v>
      </c>
      <c r="G28" s="10"/>
      <c r="H28" s="7" t="s">
        <v>3492</v>
      </c>
      <c r="I28" s="7" t="s">
        <v>3064</v>
      </c>
      <c r="J28" s="7" t="s">
        <v>3358</v>
      </c>
      <c r="K28" s="7" t="s">
        <v>4011</v>
      </c>
      <c r="L28" s="11" t="str">
        <f>HYPERLINK("http://slimages.macys.com/is/image/MCY/14425221 ")</f>
        <v xml:space="preserve">http://slimages.macys.com/is/image/MCY/14425221 </v>
      </c>
    </row>
    <row r="29" spans="1:12" ht="39.950000000000003" customHeight="1" x14ac:dyDescent="0.25">
      <c r="A29" s="6" t="s">
        <v>118</v>
      </c>
      <c r="B29" s="7" t="s">
        <v>119</v>
      </c>
      <c r="C29" s="8">
        <v>1</v>
      </c>
      <c r="D29" s="9">
        <v>78.11</v>
      </c>
      <c r="E29" s="8" t="s">
        <v>120</v>
      </c>
      <c r="F29" s="7"/>
      <c r="G29" s="10"/>
      <c r="H29" s="7" t="s">
        <v>3526</v>
      </c>
      <c r="I29" s="7" t="s">
        <v>3865</v>
      </c>
      <c r="J29" s="7" t="s">
        <v>3358</v>
      </c>
      <c r="K29" s="7"/>
      <c r="L29" s="11" t="str">
        <f>HYPERLINK("http://slimages.macys.com/is/image/MCY/12658743 ")</f>
        <v xml:space="preserve">http://slimages.macys.com/is/image/MCY/12658743 </v>
      </c>
    </row>
    <row r="30" spans="1:12" ht="39.950000000000003" customHeight="1" x14ac:dyDescent="0.25">
      <c r="A30" s="6" t="s">
        <v>121</v>
      </c>
      <c r="B30" s="7" t="s">
        <v>122</v>
      </c>
      <c r="C30" s="8">
        <v>1</v>
      </c>
      <c r="D30" s="9">
        <v>56.99</v>
      </c>
      <c r="E30" s="8">
        <v>13449</v>
      </c>
      <c r="F30" s="7" t="s">
        <v>3525</v>
      </c>
      <c r="G30" s="10"/>
      <c r="H30" s="7" t="s">
        <v>3492</v>
      </c>
      <c r="I30" s="7" t="s">
        <v>3628</v>
      </c>
      <c r="J30" s="7" t="s">
        <v>3358</v>
      </c>
      <c r="K30" s="7" t="s">
        <v>3390</v>
      </c>
      <c r="L30" s="11" t="str">
        <f>HYPERLINK("http://slimages.macys.com/is/image/MCY/15637211 ")</f>
        <v xml:space="preserve">http://slimages.macys.com/is/image/MCY/15637211 </v>
      </c>
    </row>
    <row r="31" spans="1:12" ht="39.950000000000003" customHeight="1" x14ac:dyDescent="0.25">
      <c r="A31" s="6" t="s">
        <v>123</v>
      </c>
      <c r="B31" s="7" t="s">
        <v>124</v>
      </c>
      <c r="C31" s="8">
        <v>1</v>
      </c>
      <c r="D31" s="9">
        <v>49.99</v>
      </c>
      <c r="E31" s="8" t="s">
        <v>125</v>
      </c>
      <c r="F31" s="7" t="s">
        <v>3701</v>
      </c>
      <c r="G31" s="10"/>
      <c r="H31" s="7" t="s">
        <v>3526</v>
      </c>
      <c r="I31" s="7" t="s">
        <v>4242</v>
      </c>
      <c r="J31" s="7"/>
      <c r="K31" s="7"/>
      <c r="L31" s="11" t="str">
        <f>HYPERLINK("http://slimages.macys.com/is/image/MCY/17960139 ")</f>
        <v xml:space="preserve">http://slimages.macys.com/is/image/MCY/17960139 </v>
      </c>
    </row>
    <row r="32" spans="1:12" ht="39.950000000000003" customHeight="1" x14ac:dyDescent="0.25">
      <c r="A32" s="6" t="s">
        <v>126</v>
      </c>
      <c r="B32" s="7" t="s">
        <v>127</v>
      </c>
      <c r="C32" s="8">
        <v>1</v>
      </c>
      <c r="D32" s="9">
        <v>49.99</v>
      </c>
      <c r="E32" s="8">
        <v>43348</v>
      </c>
      <c r="F32" s="7" t="s">
        <v>3477</v>
      </c>
      <c r="G32" s="10"/>
      <c r="H32" s="7" t="s">
        <v>3492</v>
      </c>
      <c r="I32" s="7" t="s">
        <v>3636</v>
      </c>
      <c r="J32" s="7" t="s">
        <v>3358</v>
      </c>
      <c r="K32" s="7" t="s">
        <v>3390</v>
      </c>
      <c r="L32" s="11" t="str">
        <f>HYPERLINK("http://slimages.macys.com/is/image/MCY/2947015 ")</f>
        <v xml:space="preserve">http://slimages.macys.com/is/image/MCY/2947015 </v>
      </c>
    </row>
    <row r="33" spans="1:12" ht="39.950000000000003" customHeight="1" x14ac:dyDescent="0.25">
      <c r="A33" s="6" t="s">
        <v>128</v>
      </c>
      <c r="B33" s="7" t="s">
        <v>129</v>
      </c>
      <c r="C33" s="8">
        <v>1</v>
      </c>
      <c r="D33" s="9">
        <v>64.989999999999995</v>
      </c>
      <c r="E33" s="8" t="s">
        <v>130</v>
      </c>
      <c r="F33" s="7" t="s">
        <v>3371</v>
      </c>
      <c r="G33" s="10"/>
      <c r="H33" s="7" t="s">
        <v>3492</v>
      </c>
      <c r="I33" s="7" t="s">
        <v>3510</v>
      </c>
      <c r="J33" s="7"/>
      <c r="K33" s="7"/>
      <c r="L33" s="11" t="str">
        <f>HYPERLINK("http://slimages.macys.com/is/image/MCY/17781460 ")</f>
        <v xml:space="preserve">http://slimages.macys.com/is/image/MCY/17781460 </v>
      </c>
    </row>
    <row r="34" spans="1:12" ht="39.950000000000003" customHeight="1" x14ac:dyDescent="0.25">
      <c r="A34" s="6" t="s">
        <v>131</v>
      </c>
      <c r="B34" s="7" t="s">
        <v>132</v>
      </c>
      <c r="C34" s="8">
        <v>1</v>
      </c>
      <c r="D34" s="9">
        <v>51.99</v>
      </c>
      <c r="E34" s="8" t="s">
        <v>133</v>
      </c>
      <c r="F34" s="7" t="s">
        <v>3514</v>
      </c>
      <c r="G34" s="10"/>
      <c r="H34" s="7" t="s">
        <v>3372</v>
      </c>
      <c r="I34" s="7" t="s">
        <v>134</v>
      </c>
      <c r="J34" s="7" t="s">
        <v>3358</v>
      </c>
      <c r="K34" s="7" t="s">
        <v>3484</v>
      </c>
      <c r="L34" s="11" t="str">
        <f>HYPERLINK("http://slimages.macys.com/is/image/MCY/13066858 ")</f>
        <v xml:space="preserve">http://slimages.macys.com/is/image/MCY/13066858 </v>
      </c>
    </row>
    <row r="35" spans="1:12" ht="39.950000000000003" customHeight="1" x14ac:dyDescent="0.25">
      <c r="A35" s="6" t="s">
        <v>135</v>
      </c>
      <c r="B35" s="7" t="s">
        <v>136</v>
      </c>
      <c r="C35" s="8">
        <v>1</v>
      </c>
      <c r="D35" s="9">
        <v>79.989999999999995</v>
      </c>
      <c r="E35" s="8" t="s">
        <v>137</v>
      </c>
      <c r="F35" s="7" t="s">
        <v>3503</v>
      </c>
      <c r="G35" s="10"/>
      <c r="H35" s="7" t="s">
        <v>3365</v>
      </c>
      <c r="I35" s="7" t="s">
        <v>3554</v>
      </c>
      <c r="J35" s="7"/>
      <c r="K35" s="7"/>
      <c r="L35" s="11" t="str">
        <f>HYPERLINK("http://slimages.macys.com/is/image/MCY/18047488 ")</f>
        <v xml:space="preserve">http://slimages.macys.com/is/image/MCY/18047488 </v>
      </c>
    </row>
    <row r="36" spans="1:12" ht="39.950000000000003" customHeight="1" x14ac:dyDescent="0.25">
      <c r="A36" s="6" t="s">
        <v>2023</v>
      </c>
      <c r="B36" s="7" t="s">
        <v>2024</v>
      </c>
      <c r="C36" s="8">
        <v>1</v>
      </c>
      <c r="D36" s="9">
        <v>49.99</v>
      </c>
      <c r="E36" s="8" t="s">
        <v>2025</v>
      </c>
      <c r="F36" s="7" t="s">
        <v>3477</v>
      </c>
      <c r="G36" s="10"/>
      <c r="H36" s="7" t="s">
        <v>3412</v>
      </c>
      <c r="I36" s="7" t="s">
        <v>3413</v>
      </c>
      <c r="J36" s="7" t="s">
        <v>3358</v>
      </c>
      <c r="K36" s="7" t="s">
        <v>3390</v>
      </c>
      <c r="L36" s="11" t="str">
        <f>HYPERLINK("http://slimages.macys.com/is/image/MCY/8347198 ")</f>
        <v xml:space="preserve">http://slimages.macys.com/is/image/MCY/8347198 </v>
      </c>
    </row>
    <row r="37" spans="1:12" ht="39.950000000000003" customHeight="1" x14ac:dyDescent="0.25">
      <c r="A37" s="6" t="s">
        <v>1378</v>
      </c>
      <c r="B37" s="7" t="s">
        <v>1379</v>
      </c>
      <c r="C37" s="8">
        <v>1</v>
      </c>
      <c r="D37" s="9">
        <v>49.99</v>
      </c>
      <c r="E37" s="8" t="s">
        <v>1380</v>
      </c>
      <c r="F37" s="7" t="s">
        <v>3384</v>
      </c>
      <c r="G37" s="10"/>
      <c r="H37" s="7" t="s">
        <v>3412</v>
      </c>
      <c r="I37" s="7" t="s">
        <v>3413</v>
      </c>
      <c r="J37" s="7" t="s">
        <v>3358</v>
      </c>
      <c r="K37" s="7" t="s">
        <v>3390</v>
      </c>
      <c r="L37" s="11" t="str">
        <f>HYPERLINK("http://slimages.macys.com/is/image/MCY/8347198 ")</f>
        <v xml:space="preserve">http://slimages.macys.com/is/image/MCY/8347198 </v>
      </c>
    </row>
    <row r="38" spans="1:12" ht="39.950000000000003" customHeight="1" x14ac:dyDescent="0.25">
      <c r="A38" s="6" t="s">
        <v>138</v>
      </c>
      <c r="B38" s="7" t="s">
        <v>139</v>
      </c>
      <c r="C38" s="8">
        <v>1</v>
      </c>
      <c r="D38" s="9">
        <v>44.99</v>
      </c>
      <c r="E38" s="8" t="s">
        <v>140</v>
      </c>
      <c r="F38" s="7" t="s">
        <v>3525</v>
      </c>
      <c r="G38" s="10"/>
      <c r="H38" s="7" t="s">
        <v>3515</v>
      </c>
      <c r="I38" s="7" t="s">
        <v>3436</v>
      </c>
      <c r="J38" s="7" t="s">
        <v>3358</v>
      </c>
      <c r="K38" s="7"/>
      <c r="L38" s="11" t="str">
        <f>HYPERLINK("http://slimages.macys.com/is/image/MCY/13368107 ")</f>
        <v xml:space="preserve">http://slimages.macys.com/is/image/MCY/13368107 </v>
      </c>
    </row>
    <row r="39" spans="1:12" ht="39.950000000000003" customHeight="1" x14ac:dyDescent="0.25">
      <c r="A39" s="6" t="s">
        <v>3902</v>
      </c>
      <c r="B39" s="7" t="s">
        <v>3903</v>
      </c>
      <c r="C39" s="8">
        <v>1</v>
      </c>
      <c r="D39" s="9">
        <v>59.99</v>
      </c>
      <c r="E39" s="8">
        <v>10004897500</v>
      </c>
      <c r="F39" s="7" t="s">
        <v>3904</v>
      </c>
      <c r="G39" s="10"/>
      <c r="H39" s="7" t="s">
        <v>3658</v>
      </c>
      <c r="I39" s="7" t="s">
        <v>3905</v>
      </c>
      <c r="J39" s="7" t="s">
        <v>3358</v>
      </c>
      <c r="K39" s="7"/>
      <c r="L39" s="11" t="str">
        <f>HYPERLINK("http://slimages.macys.com/is/image/MCY/14823286 ")</f>
        <v xml:space="preserve">http://slimages.macys.com/is/image/MCY/14823286 </v>
      </c>
    </row>
    <row r="40" spans="1:12" ht="39.950000000000003" customHeight="1" x14ac:dyDescent="0.25">
      <c r="A40" s="6" t="s">
        <v>141</v>
      </c>
      <c r="B40" s="7" t="s">
        <v>142</v>
      </c>
      <c r="C40" s="8">
        <v>1</v>
      </c>
      <c r="D40" s="9">
        <v>49.99</v>
      </c>
      <c r="E40" s="8" t="s">
        <v>143</v>
      </c>
      <c r="F40" s="7" t="s">
        <v>3600</v>
      </c>
      <c r="G40" s="10" t="s">
        <v>2497</v>
      </c>
      <c r="H40" s="7" t="s">
        <v>3601</v>
      </c>
      <c r="I40" s="7" t="s">
        <v>3602</v>
      </c>
      <c r="J40" s="7" t="s">
        <v>3358</v>
      </c>
      <c r="K40" s="7"/>
      <c r="L40" s="11" t="str">
        <f>HYPERLINK("http://slimages.macys.com/is/image/MCY/8456177 ")</f>
        <v xml:space="preserve">http://slimages.macys.com/is/image/MCY/8456177 </v>
      </c>
    </row>
    <row r="41" spans="1:12" ht="39.950000000000003" customHeight="1" x14ac:dyDescent="0.25">
      <c r="A41" s="6" t="s">
        <v>144</v>
      </c>
      <c r="B41" s="7" t="s">
        <v>145</v>
      </c>
      <c r="C41" s="8">
        <v>1</v>
      </c>
      <c r="D41" s="9">
        <v>29.99</v>
      </c>
      <c r="E41" s="8" t="s">
        <v>146</v>
      </c>
      <c r="F41" s="7" t="s">
        <v>3668</v>
      </c>
      <c r="G41" s="10"/>
      <c r="H41" s="7" t="s">
        <v>3526</v>
      </c>
      <c r="I41" s="7" t="s">
        <v>3900</v>
      </c>
      <c r="J41" s="7" t="s">
        <v>3358</v>
      </c>
      <c r="K41" s="7" t="s">
        <v>3901</v>
      </c>
      <c r="L41" s="11" t="str">
        <f>HYPERLINK("http://slimages.macys.com/is/image/MCY/13793403 ")</f>
        <v xml:space="preserve">http://slimages.macys.com/is/image/MCY/13793403 </v>
      </c>
    </row>
    <row r="42" spans="1:12" ht="39.950000000000003" customHeight="1" x14ac:dyDescent="0.25">
      <c r="A42" s="6" t="s">
        <v>147</v>
      </c>
      <c r="B42" s="7" t="s">
        <v>148</v>
      </c>
      <c r="C42" s="8">
        <v>1</v>
      </c>
      <c r="D42" s="9">
        <v>34.99</v>
      </c>
      <c r="E42" s="8" t="s">
        <v>149</v>
      </c>
      <c r="F42" s="7" t="s">
        <v>3525</v>
      </c>
      <c r="G42" s="10"/>
      <c r="H42" s="7" t="s">
        <v>3492</v>
      </c>
      <c r="I42" s="7" t="s">
        <v>3669</v>
      </c>
      <c r="J42" s="7"/>
      <c r="K42" s="7"/>
      <c r="L42" s="11" t="str">
        <f>HYPERLINK("http://slimages.macys.com/is/image/MCY/18347382 ")</f>
        <v xml:space="preserve">http://slimages.macys.com/is/image/MCY/18347382 </v>
      </c>
    </row>
    <row r="43" spans="1:12" ht="39.950000000000003" customHeight="1" x14ac:dyDescent="0.25">
      <c r="A43" s="6" t="s">
        <v>150</v>
      </c>
      <c r="B43" s="7" t="s">
        <v>151</v>
      </c>
      <c r="C43" s="8">
        <v>1</v>
      </c>
      <c r="D43" s="9">
        <v>36.99</v>
      </c>
      <c r="E43" s="8" t="s">
        <v>152</v>
      </c>
      <c r="F43" s="7" t="s">
        <v>3477</v>
      </c>
      <c r="G43" s="10"/>
      <c r="H43" s="7" t="s">
        <v>3492</v>
      </c>
      <c r="I43" s="7" t="s">
        <v>3436</v>
      </c>
      <c r="J43" s="7" t="s">
        <v>3358</v>
      </c>
      <c r="K43" s="7" t="s">
        <v>3951</v>
      </c>
      <c r="L43" s="11" t="str">
        <f>HYPERLINK("http://slimages.macys.com/is/image/MCY/9929848 ")</f>
        <v xml:space="preserve">http://slimages.macys.com/is/image/MCY/9929848 </v>
      </c>
    </row>
    <row r="44" spans="1:12" ht="39.950000000000003" customHeight="1" x14ac:dyDescent="0.25">
      <c r="A44" s="6" t="s">
        <v>153</v>
      </c>
      <c r="B44" s="7" t="s">
        <v>154</v>
      </c>
      <c r="C44" s="8">
        <v>1</v>
      </c>
      <c r="D44" s="9">
        <v>24.99</v>
      </c>
      <c r="E44" s="8" t="s">
        <v>155</v>
      </c>
      <c r="F44" s="7" t="s">
        <v>3735</v>
      </c>
      <c r="G44" s="10"/>
      <c r="H44" s="7" t="s">
        <v>3431</v>
      </c>
      <c r="I44" s="7" t="s">
        <v>156</v>
      </c>
      <c r="J44" s="7" t="s">
        <v>3358</v>
      </c>
      <c r="K44" s="7"/>
      <c r="L44" s="11" t="str">
        <f>HYPERLINK("http://slimages.macys.com/is/image/MCY/9408114 ")</f>
        <v xml:space="preserve">http://slimages.macys.com/is/image/MCY/9408114 </v>
      </c>
    </row>
    <row r="45" spans="1:12" ht="39.950000000000003" customHeight="1" x14ac:dyDescent="0.25">
      <c r="A45" s="6" t="s">
        <v>157</v>
      </c>
      <c r="B45" s="7" t="s">
        <v>158</v>
      </c>
      <c r="C45" s="8">
        <v>2</v>
      </c>
      <c r="D45" s="9">
        <v>77.98</v>
      </c>
      <c r="E45" s="8">
        <v>70097</v>
      </c>
      <c r="F45" s="7" t="s">
        <v>3363</v>
      </c>
      <c r="G45" s="10" t="s">
        <v>3460</v>
      </c>
      <c r="H45" s="7" t="s">
        <v>3388</v>
      </c>
      <c r="I45" s="7" t="s">
        <v>3389</v>
      </c>
      <c r="J45" s="7" t="s">
        <v>3358</v>
      </c>
      <c r="K45" s="7" t="s">
        <v>3506</v>
      </c>
      <c r="L45" s="11" t="str">
        <f>HYPERLINK("http://slimages.macys.com/is/image/MCY/10096534 ")</f>
        <v xml:space="preserve">http://slimages.macys.com/is/image/MCY/10096534 </v>
      </c>
    </row>
    <row r="46" spans="1:12" ht="39.950000000000003" customHeight="1" x14ac:dyDescent="0.25">
      <c r="A46" s="6" t="s">
        <v>159</v>
      </c>
      <c r="B46" s="7" t="s">
        <v>160</v>
      </c>
      <c r="C46" s="8">
        <v>1</v>
      </c>
      <c r="D46" s="9">
        <v>29.99</v>
      </c>
      <c r="E46" s="8">
        <v>75548</v>
      </c>
      <c r="F46" s="7"/>
      <c r="G46" s="10"/>
      <c r="H46" s="7" t="s">
        <v>3412</v>
      </c>
      <c r="I46" s="7" t="s">
        <v>3595</v>
      </c>
      <c r="J46" s="7" t="s">
        <v>3358</v>
      </c>
      <c r="K46" s="7" t="s">
        <v>3359</v>
      </c>
      <c r="L46" s="11" t="str">
        <f>HYPERLINK("http://slimages.macys.com/is/image/MCY/3813347 ")</f>
        <v xml:space="preserve">http://slimages.macys.com/is/image/MCY/3813347 </v>
      </c>
    </row>
    <row r="47" spans="1:12" ht="39.950000000000003" customHeight="1" x14ac:dyDescent="0.25">
      <c r="A47" s="6" t="s">
        <v>891</v>
      </c>
      <c r="B47" s="7" t="s">
        <v>892</v>
      </c>
      <c r="C47" s="8">
        <v>1</v>
      </c>
      <c r="D47" s="9">
        <v>59.99</v>
      </c>
      <c r="E47" s="8" t="s">
        <v>893</v>
      </c>
      <c r="F47" s="7" t="s">
        <v>3701</v>
      </c>
      <c r="G47" s="10"/>
      <c r="H47" s="7" t="s">
        <v>3365</v>
      </c>
      <c r="I47" s="7" t="s">
        <v>3385</v>
      </c>
      <c r="J47" s="7" t="s">
        <v>3358</v>
      </c>
      <c r="K47" s="7" t="s">
        <v>3702</v>
      </c>
      <c r="L47" s="11" t="str">
        <f>HYPERLINK("http://slimages.macys.com/is/image/MCY/15495852 ")</f>
        <v xml:space="preserve">http://slimages.macys.com/is/image/MCY/15495852 </v>
      </c>
    </row>
    <row r="48" spans="1:12" ht="39.950000000000003" customHeight="1" x14ac:dyDescent="0.25">
      <c r="A48" s="6" t="s">
        <v>161</v>
      </c>
      <c r="B48" s="7" t="s">
        <v>162</v>
      </c>
      <c r="C48" s="8">
        <v>1</v>
      </c>
      <c r="D48" s="9">
        <v>24.99</v>
      </c>
      <c r="E48" s="8" t="s">
        <v>163</v>
      </c>
      <c r="F48" s="7" t="s">
        <v>3363</v>
      </c>
      <c r="G48" s="10" t="s">
        <v>3504</v>
      </c>
      <c r="H48" s="7" t="s">
        <v>3515</v>
      </c>
      <c r="I48" s="7" t="s">
        <v>164</v>
      </c>
      <c r="J48" s="7" t="s">
        <v>3358</v>
      </c>
      <c r="K48" s="7" t="s">
        <v>3390</v>
      </c>
      <c r="L48" s="11" t="str">
        <f>HYPERLINK("http://slimages.macys.com/is/image/MCY/11699756 ")</f>
        <v xml:space="preserve">http://slimages.macys.com/is/image/MCY/11699756 </v>
      </c>
    </row>
    <row r="49" spans="1:12" ht="39.950000000000003" customHeight="1" x14ac:dyDescent="0.25">
      <c r="A49" s="6" t="s">
        <v>165</v>
      </c>
      <c r="B49" s="7" t="s">
        <v>166</v>
      </c>
      <c r="C49" s="8">
        <v>1</v>
      </c>
      <c r="D49" s="9">
        <v>24.99</v>
      </c>
      <c r="E49" s="8" t="s">
        <v>167</v>
      </c>
      <c r="F49" s="7" t="s">
        <v>3525</v>
      </c>
      <c r="G49" s="10"/>
      <c r="H49" s="7" t="s">
        <v>3515</v>
      </c>
      <c r="I49" s="7" t="s">
        <v>3436</v>
      </c>
      <c r="J49" s="7" t="s">
        <v>3358</v>
      </c>
      <c r="K49" s="7" t="s">
        <v>3484</v>
      </c>
      <c r="L49" s="11" t="str">
        <f>HYPERLINK("http://slimages.macys.com/is/image/MCY/9842214 ")</f>
        <v xml:space="preserve">http://slimages.macys.com/is/image/MCY/9842214 </v>
      </c>
    </row>
    <row r="50" spans="1:12" ht="39.950000000000003" customHeight="1" x14ac:dyDescent="0.25">
      <c r="A50" s="6" t="s">
        <v>168</v>
      </c>
      <c r="B50" s="7" t="s">
        <v>169</v>
      </c>
      <c r="C50" s="8">
        <v>1</v>
      </c>
      <c r="D50" s="9">
        <v>21.99</v>
      </c>
      <c r="E50" s="8">
        <v>56216</v>
      </c>
      <c r="F50" s="7" t="s">
        <v>3363</v>
      </c>
      <c r="G50" s="10" t="s">
        <v>2207</v>
      </c>
      <c r="H50" s="7" t="s">
        <v>3492</v>
      </c>
      <c r="I50" s="7" t="s">
        <v>3636</v>
      </c>
      <c r="J50" s="7"/>
      <c r="K50" s="7"/>
      <c r="L50" s="11" t="str">
        <f>HYPERLINK("http://slimages.macys.com/is/image/MCY/17936226 ")</f>
        <v xml:space="preserve">http://slimages.macys.com/is/image/MCY/17936226 </v>
      </c>
    </row>
    <row r="51" spans="1:12" ht="39.950000000000003" customHeight="1" x14ac:dyDescent="0.25">
      <c r="A51" s="6" t="s">
        <v>170</v>
      </c>
      <c r="B51" s="7" t="s">
        <v>171</v>
      </c>
      <c r="C51" s="8">
        <v>1</v>
      </c>
      <c r="D51" s="9">
        <v>33.99</v>
      </c>
      <c r="E51" s="8">
        <v>6581039</v>
      </c>
      <c r="F51" s="7" t="s">
        <v>3355</v>
      </c>
      <c r="G51" s="10"/>
      <c r="H51" s="7" t="s">
        <v>3492</v>
      </c>
      <c r="I51" s="7" t="s">
        <v>3998</v>
      </c>
      <c r="J51" s="7" t="s">
        <v>3358</v>
      </c>
      <c r="K51" s="7" t="s">
        <v>3506</v>
      </c>
      <c r="L51" s="11" t="str">
        <f>HYPERLINK("http://slimages.macys.com/is/image/MCY/14365465 ")</f>
        <v xml:space="preserve">http://slimages.macys.com/is/image/MCY/14365465 </v>
      </c>
    </row>
    <row r="52" spans="1:12" ht="39.950000000000003" customHeight="1" x14ac:dyDescent="0.25">
      <c r="A52" s="6" t="s">
        <v>172</v>
      </c>
      <c r="B52" s="7" t="s">
        <v>173</v>
      </c>
      <c r="C52" s="8">
        <v>1</v>
      </c>
      <c r="D52" s="9">
        <v>18.989999999999998</v>
      </c>
      <c r="E52" s="8" t="s">
        <v>174</v>
      </c>
      <c r="F52" s="7" t="s">
        <v>3498</v>
      </c>
      <c r="G52" s="10"/>
      <c r="H52" s="7" t="s">
        <v>3526</v>
      </c>
      <c r="I52" s="7" t="s">
        <v>4128</v>
      </c>
      <c r="J52" s="7" t="s">
        <v>3358</v>
      </c>
      <c r="K52" s="7" t="s">
        <v>175</v>
      </c>
      <c r="L52" s="11" t="str">
        <f>HYPERLINK("http://slimages.macys.com/is/image/MCY/13743524 ")</f>
        <v xml:space="preserve">http://slimages.macys.com/is/image/MCY/13743524 </v>
      </c>
    </row>
    <row r="53" spans="1:12" ht="39.950000000000003" customHeight="1" x14ac:dyDescent="0.25">
      <c r="A53" s="6" t="s">
        <v>176</v>
      </c>
      <c r="B53" s="7" t="s">
        <v>177</v>
      </c>
      <c r="C53" s="8">
        <v>1</v>
      </c>
      <c r="D53" s="9">
        <v>30.99</v>
      </c>
      <c r="E53" s="8">
        <v>6580872</v>
      </c>
      <c r="F53" s="7" t="s">
        <v>3355</v>
      </c>
      <c r="G53" s="10" t="s">
        <v>178</v>
      </c>
      <c r="H53" s="7" t="s">
        <v>3492</v>
      </c>
      <c r="I53" s="7" t="s">
        <v>3998</v>
      </c>
      <c r="J53" s="7" t="s">
        <v>3358</v>
      </c>
      <c r="K53" s="7" t="s">
        <v>3506</v>
      </c>
      <c r="L53" s="11" t="str">
        <f>HYPERLINK("http://slimages.macys.com/is/image/MCY/14366158 ")</f>
        <v xml:space="preserve">http://slimages.macys.com/is/image/MCY/14366158 </v>
      </c>
    </row>
    <row r="54" spans="1:12" ht="39.950000000000003" customHeight="1" x14ac:dyDescent="0.25">
      <c r="A54" s="6" t="s">
        <v>179</v>
      </c>
      <c r="B54" s="7" t="s">
        <v>180</v>
      </c>
      <c r="C54" s="8">
        <v>1</v>
      </c>
      <c r="D54" s="9">
        <v>24.99</v>
      </c>
      <c r="E54" s="8" t="s">
        <v>181</v>
      </c>
      <c r="F54" s="7" t="s">
        <v>3701</v>
      </c>
      <c r="G54" s="10"/>
      <c r="H54" s="7" t="s">
        <v>3431</v>
      </c>
      <c r="I54" s="7" t="s">
        <v>356</v>
      </c>
      <c r="J54" s="7" t="s">
        <v>3751</v>
      </c>
      <c r="K54" s="7" t="s">
        <v>3390</v>
      </c>
      <c r="L54" s="11" t="str">
        <f>HYPERLINK("http://slimages.macys.com/is/image/MCY/14718151 ")</f>
        <v xml:space="preserve">http://slimages.macys.com/is/image/MCY/14718151 </v>
      </c>
    </row>
    <row r="55" spans="1:12" ht="39.950000000000003" customHeight="1" x14ac:dyDescent="0.25">
      <c r="A55" s="6" t="s">
        <v>182</v>
      </c>
      <c r="B55" s="7" t="s">
        <v>183</v>
      </c>
      <c r="C55" s="8">
        <v>1</v>
      </c>
      <c r="D55" s="9">
        <v>29.99</v>
      </c>
      <c r="E55" s="8" t="s">
        <v>184</v>
      </c>
      <c r="F55" s="7"/>
      <c r="G55" s="10"/>
      <c r="H55" s="7" t="s">
        <v>3412</v>
      </c>
      <c r="I55" s="7" t="s">
        <v>3969</v>
      </c>
      <c r="J55" s="7"/>
      <c r="K55" s="7"/>
      <c r="L55" s="11" t="str">
        <f>HYPERLINK("http://slimages.macys.com/is/image/MCY/17709881 ")</f>
        <v xml:space="preserve">http://slimages.macys.com/is/image/MCY/17709881 </v>
      </c>
    </row>
    <row r="56" spans="1:12" ht="39.950000000000003" customHeight="1" x14ac:dyDescent="0.25">
      <c r="A56" s="6" t="s">
        <v>185</v>
      </c>
      <c r="B56" s="7" t="s">
        <v>186</v>
      </c>
      <c r="C56" s="8">
        <v>2</v>
      </c>
      <c r="D56" s="9">
        <v>49.98</v>
      </c>
      <c r="E56" s="8" t="s">
        <v>187</v>
      </c>
      <c r="F56" s="7" t="s">
        <v>3542</v>
      </c>
      <c r="G56" s="10" t="s">
        <v>3645</v>
      </c>
      <c r="H56" s="7" t="s">
        <v>3471</v>
      </c>
      <c r="I56" s="7" t="s">
        <v>188</v>
      </c>
      <c r="J56" s="7" t="s">
        <v>3379</v>
      </c>
      <c r="K56" s="7"/>
      <c r="L56" s="11" t="str">
        <f>HYPERLINK("http://slimages.macys.com/is/image/MCY/9555683 ")</f>
        <v xml:space="preserve">http://slimages.macys.com/is/image/MCY/9555683 </v>
      </c>
    </row>
    <row r="57" spans="1:12" ht="39.950000000000003" customHeight="1" x14ac:dyDescent="0.25">
      <c r="A57" s="6" t="s">
        <v>189</v>
      </c>
      <c r="B57" s="7" t="s">
        <v>190</v>
      </c>
      <c r="C57" s="8">
        <v>1</v>
      </c>
      <c r="D57" s="9">
        <v>19.989999999999998</v>
      </c>
      <c r="E57" s="8" t="s">
        <v>191</v>
      </c>
      <c r="F57" s="7" t="s">
        <v>3735</v>
      </c>
      <c r="G57" s="10" t="s">
        <v>3893</v>
      </c>
      <c r="H57" s="7" t="s">
        <v>3492</v>
      </c>
      <c r="I57" s="7" t="s">
        <v>4212</v>
      </c>
      <c r="J57" s="7"/>
      <c r="K57" s="7"/>
      <c r="L57" s="11" t="str">
        <f>HYPERLINK("http://slimages.macys.com/is/image/MCY/17566531 ")</f>
        <v xml:space="preserve">http://slimages.macys.com/is/image/MCY/17566531 </v>
      </c>
    </row>
    <row r="58" spans="1:12" ht="39.950000000000003" customHeight="1" x14ac:dyDescent="0.25">
      <c r="A58" s="6" t="s">
        <v>192</v>
      </c>
      <c r="B58" s="7" t="s">
        <v>193</v>
      </c>
      <c r="C58" s="8">
        <v>1</v>
      </c>
      <c r="D58" s="9">
        <v>19.989999999999998</v>
      </c>
      <c r="E58" s="8" t="s">
        <v>194</v>
      </c>
      <c r="F58" s="7" t="s">
        <v>3542</v>
      </c>
      <c r="G58" s="10" t="s">
        <v>3645</v>
      </c>
      <c r="H58" s="7" t="s">
        <v>3471</v>
      </c>
      <c r="I58" s="7" t="s">
        <v>3985</v>
      </c>
      <c r="J58" s="7" t="s">
        <v>3379</v>
      </c>
      <c r="K58" s="7"/>
      <c r="L58" s="11" t="str">
        <f>HYPERLINK("http://slimages.macys.com/is/image/MCY/8644231 ")</f>
        <v xml:space="preserve">http://slimages.macys.com/is/image/MCY/8644231 </v>
      </c>
    </row>
    <row r="59" spans="1:12" ht="39.950000000000003" customHeight="1" x14ac:dyDescent="0.25">
      <c r="A59" s="6" t="s">
        <v>195</v>
      </c>
      <c r="B59" s="7" t="s">
        <v>196</v>
      </c>
      <c r="C59" s="8">
        <v>1</v>
      </c>
      <c r="D59" s="9">
        <v>19.989999999999998</v>
      </c>
      <c r="E59" s="8" t="s">
        <v>197</v>
      </c>
      <c r="F59" s="7"/>
      <c r="G59" s="10" t="s">
        <v>3532</v>
      </c>
      <c r="H59" s="7" t="s">
        <v>3412</v>
      </c>
      <c r="I59" s="7" t="s">
        <v>3969</v>
      </c>
      <c r="J59" s="7"/>
      <c r="K59" s="7"/>
      <c r="L59" s="11" t="str">
        <f>HYPERLINK("http://slimages.macys.com/is/image/MCY/17597838 ")</f>
        <v xml:space="preserve">http://slimages.macys.com/is/image/MCY/17597838 </v>
      </c>
    </row>
    <row r="60" spans="1:12" ht="39.950000000000003" customHeight="1" x14ac:dyDescent="0.25">
      <c r="A60" s="6" t="s">
        <v>198</v>
      </c>
      <c r="B60" s="7" t="s">
        <v>199</v>
      </c>
      <c r="C60" s="8">
        <v>1</v>
      </c>
      <c r="D60" s="9">
        <v>14.99</v>
      </c>
      <c r="E60" s="8">
        <v>1984</v>
      </c>
      <c r="F60" s="7" t="s">
        <v>3498</v>
      </c>
      <c r="G60" s="10" t="s">
        <v>3774</v>
      </c>
      <c r="H60" s="7" t="s">
        <v>3515</v>
      </c>
      <c r="I60" s="7" t="s">
        <v>3803</v>
      </c>
      <c r="J60" s="7" t="s">
        <v>3379</v>
      </c>
      <c r="K60" s="7" t="s">
        <v>200</v>
      </c>
      <c r="L60" s="11" t="str">
        <f>HYPERLINK("http://slimages.macys.com/is/image/MCY/983590 ")</f>
        <v xml:space="preserve">http://slimages.macys.com/is/image/MCY/983590 </v>
      </c>
    </row>
    <row r="61" spans="1:12" ht="39.950000000000003" customHeight="1" x14ac:dyDescent="0.25">
      <c r="A61" s="6" t="s">
        <v>201</v>
      </c>
      <c r="B61" s="7" t="s">
        <v>202</v>
      </c>
      <c r="C61" s="8">
        <v>2</v>
      </c>
      <c r="D61" s="9">
        <v>39.979999999999997</v>
      </c>
      <c r="E61" s="8" t="s">
        <v>203</v>
      </c>
      <c r="F61" s="7" t="s">
        <v>3542</v>
      </c>
      <c r="G61" s="10"/>
      <c r="H61" s="7" t="s">
        <v>3471</v>
      </c>
      <c r="I61" s="7" t="s">
        <v>188</v>
      </c>
      <c r="J61" s="7" t="s">
        <v>3379</v>
      </c>
      <c r="K61" s="7"/>
      <c r="L61" s="11" t="str">
        <f>HYPERLINK("http://slimages.macys.com/is/image/MCY/9555683 ")</f>
        <v xml:space="preserve">http://slimages.macys.com/is/image/MCY/9555683 </v>
      </c>
    </row>
    <row r="62" spans="1:12" ht="39.950000000000003" customHeight="1" x14ac:dyDescent="0.25">
      <c r="A62" s="6" t="s">
        <v>204</v>
      </c>
      <c r="B62" s="7" t="s">
        <v>205</v>
      </c>
      <c r="C62" s="8">
        <v>1</v>
      </c>
      <c r="D62" s="9">
        <v>34.99</v>
      </c>
      <c r="E62" s="8" t="s">
        <v>2238</v>
      </c>
      <c r="F62" s="7" t="s">
        <v>3355</v>
      </c>
      <c r="G62" s="10"/>
      <c r="H62" s="7" t="s">
        <v>3431</v>
      </c>
      <c r="I62" s="7" t="s">
        <v>3432</v>
      </c>
      <c r="J62" s="7" t="s">
        <v>3358</v>
      </c>
      <c r="K62" s="7"/>
      <c r="L62" s="11" t="str">
        <f>HYPERLINK("http://slimages.macys.com/is/image/MCY/9513140 ")</f>
        <v xml:space="preserve">http://slimages.macys.com/is/image/MCY/9513140 </v>
      </c>
    </row>
    <row r="63" spans="1:12" ht="39.950000000000003" customHeight="1" x14ac:dyDescent="0.25">
      <c r="A63" s="6" t="s">
        <v>206</v>
      </c>
      <c r="B63" s="7" t="s">
        <v>207</v>
      </c>
      <c r="C63" s="8">
        <v>1</v>
      </c>
      <c r="D63" s="9">
        <v>27.99</v>
      </c>
      <c r="E63" s="8" t="s">
        <v>208</v>
      </c>
      <c r="F63" s="7" t="s">
        <v>3735</v>
      </c>
      <c r="G63" s="10"/>
      <c r="H63" s="7" t="s">
        <v>3412</v>
      </c>
      <c r="I63" s="7" t="s">
        <v>3436</v>
      </c>
      <c r="J63" s="7" t="s">
        <v>3358</v>
      </c>
      <c r="K63" s="7" t="s">
        <v>3390</v>
      </c>
      <c r="L63" s="11" t="str">
        <f>HYPERLINK("http://slimages.macys.com/is/image/MCY/15706380 ")</f>
        <v xml:space="preserve">http://slimages.macys.com/is/image/MCY/15706380 </v>
      </c>
    </row>
    <row r="64" spans="1:12" ht="39.950000000000003" customHeight="1" x14ac:dyDescent="0.25">
      <c r="A64" s="6" t="s">
        <v>209</v>
      </c>
      <c r="B64" s="7" t="s">
        <v>210</v>
      </c>
      <c r="C64" s="8">
        <v>1</v>
      </c>
      <c r="D64" s="9">
        <v>7.99</v>
      </c>
      <c r="E64" s="8" t="s">
        <v>211</v>
      </c>
      <c r="F64" s="7" t="s">
        <v>3443</v>
      </c>
      <c r="G64" s="10" t="s">
        <v>3532</v>
      </c>
      <c r="H64" s="7" t="s">
        <v>3482</v>
      </c>
      <c r="I64" s="7" t="s">
        <v>3483</v>
      </c>
      <c r="J64" s="7" t="s">
        <v>3358</v>
      </c>
      <c r="K64" s="7" t="s">
        <v>3484</v>
      </c>
      <c r="L64" s="11" t="str">
        <f>HYPERLINK("http://slimages.macys.com/is/image/MCY/12723264 ")</f>
        <v xml:space="preserve">http://slimages.macys.com/is/image/MCY/12723264 </v>
      </c>
    </row>
    <row r="65" spans="1:12" ht="39.950000000000003" customHeight="1" x14ac:dyDescent="0.25">
      <c r="A65" s="6" t="s">
        <v>212</v>
      </c>
      <c r="B65" s="7" t="s">
        <v>213</v>
      </c>
      <c r="C65" s="8">
        <v>1</v>
      </c>
      <c r="D65" s="9">
        <v>9.99</v>
      </c>
      <c r="E65" s="8" t="s">
        <v>214</v>
      </c>
      <c r="F65" s="7" t="s">
        <v>3407</v>
      </c>
      <c r="G65" s="10" t="s">
        <v>3774</v>
      </c>
      <c r="H65" s="7" t="s">
        <v>3482</v>
      </c>
      <c r="I65" s="7" t="s">
        <v>3659</v>
      </c>
      <c r="J65" s="7" t="s">
        <v>3358</v>
      </c>
      <c r="K65" s="7"/>
      <c r="L65" s="11" t="str">
        <f>HYPERLINK("http://slimages.macys.com/is/image/MCY/12067377 ")</f>
        <v xml:space="preserve">http://slimages.macys.com/is/image/MCY/12067377 </v>
      </c>
    </row>
    <row r="66" spans="1:12" ht="39.950000000000003" customHeight="1" x14ac:dyDescent="0.25">
      <c r="A66" s="6" t="s">
        <v>215</v>
      </c>
      <c r="B66" s="7" t="s">
        <v>216</v>
      </c>
      <c r="C66" s="8">
        <v>1</v>
      </c>
      <c r="D66" s="9">
        <v>14.99</v>
      </c>
      <c r="E66" s="8">
        <v>1007060600</v>
      </c>
      <c r="F66" s="7" t="s">
        <v>3477</v>
      </c>
      <c r="G66" s="10"/>
      <c r="H66" s="7" t="s">
        <v>3482</v>
      </c>
      <c r="I66" s="7" t="s">
        <v>3483</v>
      </c>
      <c r="J66" s="7" t="s">
        <v>3358</v>
      </c>
      <c r="K66" s="7" t="s">
        <v>217</v>
      </c>
      <c r="L66" s="11" t="str">
        <f>HYPERLINK("http://slimages.macys.com/is/image/MCY/10338565 ")</f>
        <v xml:space="preserve">http://slimages.macys.com/is/image/MCY/10338565 </v>
      </c>
    </row>
    <row r="67" spans="1:12" ht="39.950000000000003" customHeight="1" x14ac:dyDescent="0.25">
      <c r="A67" s="6" t="s">
        <v>3540</v>
      </c>
      <c r="B67" s="7" t="s">
        <v>3541</v>
      </c>
      <c r="C67" s="8">
        <v>5</v>
      </c>
      <c r="D67" s="9">
        <v>200</v>
      </c>
      <c r="E67" s="8"/>
      <c r="F67" s="7" t="s">
        <v>3542</v>
      </c>
      <c r="G67" s="10" t="s">
        <v>3504</v>
      </c>
      <c r="H67" s="7" t="s">
        <v>3543</v>
      </c>
      <c r="I67" s="7" t="s">
        <v>3544</v>
      </c>
      <c r="J67" s="7"/>
      <c r="K67" s="7"/>
      <c r="L67" s="11"/>
    </row>
  </sheetData>
  <phoneticPr fontId="0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topLeftCell="A2" workbookViewId="0">
      <selection activeCell="B3" sqref="B3"/>
    </sheetView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/>
      <c r="B1" s="5"/>
      <c r="C1" s="5"/>
      <c r="D1" s="5"/>
      <c r="E1" s="5"/>
      <c r="F1" s="5"/>
      <c r="G1" s="5"/>
      <c r="H1" s="5"/>
      <c r="I1" s="5"/>
      <c r="J1" s="5"/>
      <c r="K1" s="5"/>
      <c r="L1" s="5"/>
    </row>
    <row r="2" spans="1:12" ht="39.950000000000003" customHeight="1" x14ac:dyDescent="0.25">
      <c r="A2" s="5" t="s">
        <v>3340</v>
      </c>
      <c r="B2" s="5" t="s">
        <v>3341</v>
      </c>
      <c r="C2" s="5" t="s">
        <v>3342</v>
      </c>
      <c r="D2" s="5" t="s">
        <v>3343</v>
      </c>
      <c r="E2" s="5" t="s">
        <v>3344</v>
      </c>
      <c r="F2" s="5" t="s">
        <v>3345</v>
      </c>
      <c r="G2" s="5" t="s">
        <v>3346</v>
      </c>
      <c r="H2" s="5" t="s">
        <v>3347</v>
      </c>
      <c r="I2" s="5" t="s">
        <v>3348</v>
      </c>
      <c r="J2" s="5" t="s">
        <v>3349</v>
      </c>
      <c r="K2" s="5" t="s">
        <v>3350</v>
      </c>
      <c r="L2" s="5" t="s">
        <v>3351</v>
      </c>
    </row>
    <row r="3" spans="1:12" ht="39.950000000000003" customHeight="1" x14ac:dyDescent="0.25">
      <c r="A3" s="6" t="s">
        <v>218</v>
      </c>
      <c r="B3" s="7" t="s">
        <v>219</v>
      </c>
      <c r="C3" s="8">
        <v>1</v>
      </c>
      <c r="D3" s="9">
        <v>675</v>
      </c>
      <c r="E3" s="8" t="s">
        <v>220</v>
      </c>
      <c r="F3" s="7" t="s">
        <v>3498</v>
      </c>
      <c r="G3" s="10"/>
      <c r="H3" s="7" t="s">
        <v>3412</v>
      </c>
      <c r="I3" s="7" t="s">
        <v>221</v>
      </c>
      <c r="J3" s="7" t="s">
        <v>3262</v>
      </c>
      <c r="K3" s="7" t="s">
        <v>222</v>
      </c>
      <c r="L3" s="11" t="str">
        <f>HYPERLINK("http://images.bloomingdales.com/is/image/BLM/10497239 ")</f>
        <v xml:space="preserve">http://images.bloomingdales.com/is/image/BLM/10497239 </v>
      </c>
    </row>
    <row r="4" spans="1:12" ht="39.950000000000003" customHeight="1" x14ac:dyDescent="0.25">
      <c r="A4" s="6" t="s">
        <v>223</v>
      </c>
      <c r="B4" s="7" t="s">
        <v>224</v>
      </c>
      <c r="C4" s="8">
        <v>1</v>
      </c>
      <c r="D4" s="9">
        <v>249.99</v>
      </c>
      <c r="E4" s="8" t="s">
        <v>225</v>
      </c>
      <c r="F4" s="7" t="s">
        <v>3355</v>
      </c>
      <c r="G4" s="10"/>
      <c r="H4" s="7" t="s">
        <v>3365</v>
      </c>
      <c r="I4" s="7" t="s">
        <v>3558</v>
      </c>
      <c r="J4" s="7" t="s">
        <v>3358</v>
      </c>
      <c r="K4" s="7" t="s">
        <v>2349</v>
      </c>
      <c r="L4" s="11" t="str">
        <f>HYPERLINK("http://slimages.macys.com/is/image/MCY/9619531 ")</f>
        <v xml:space="preserve">http://slimages.macys.com/is/image/MCY/9619531 </v>
      </c>
    </row>
    <row r="5" spans="1:12" ht="39.950000000000003" customHeight="1" x14ac:dyDescent="0.25">
      <c r="A5" s="6" t="s">
        <v>2810</v>
      </c>
      <c r="B5" s="7" t="s">
        <v>2811</v>
      </c>
      <c r="C5" s="8">
        <v>1</v>
      </c>
      <c r="D5" s="9">
        <v>249.99</v>
      </c>
      <c r="E5" s="8" t="s">
        <v>2812</v>
      </c>
      <c r="F5" s="7" t="s">
        <v>3781</v>
      </c>
      <c r="G5" s="10" t="s">
        <v>3364</v>
      </c>
      <c r="H5" s="7" t="s">
        <v>3365</v>
      </c>
      <c r="I5" s="7" t="s">
        <v>3385</v>
      </c>
      <c r="J5" s="7" t="s">
        <v>3358</v>
      </c>
      <c r="K5" s="7" t="s">
        <v>2813</v>
      </c>
      <c r="L5" s="11" t="str">
        <f>HYPERLINK("http://slimages.macys.com/is/image/MCY/15924247 ")</f>
        <v xml:space="preserve">http://slimages.macys.com/is/image/MCY/15924247 </v>
      </c>
    </row>
    <row r="6" spans="1:12" ht="39.950000000000003" customHeight="1" x14ac:dyDescent="0.25">
      <c r="A6" s="6" t="s">
        <v>226</v>
      </c>
      <c r="B6" s="7" t="s">
        <v>227</v>
      </c>
      <c r="C6" s="8">
        <v>1</v>
      </c>
      <c r="D6" s="9">
        <v>360</v>
      </c>
      <c r="E6" s="8" t="s">
        <v>228</v>
      </c>
      <c r="F6" s="7" t="s">
        <v>3498</v>
      </c>
      <c r="G6" s="10"/>
      <c r="H6" s="7" t="s">
        <v>3365</v>
      </c>
      <c r="I6" s="7" t="s">
        <v>3973</v>
      </c>
      <c r="J6" s="7" t="s">
        <v>3751</v>
      </c>
      <c r="K6" s="7" t="s">
        <v>229</v>
      </c>
      <c r="L6" s="11" t="str">
        <f>HYPERLINK("http://images.bloomingdales.com/is/image/BLM/10163162 ")</f>
        <v xml:space="preserve">http://images.bloomingdales.com/is/image/BLM/10163162 </v>
      </c>
    </row>
    <row r="7" spans="1:12" ht="39.950000000000003" customHeight="1" x14ac:dyDescent="0.25">
      <c r="A7" s="6" t="s">
        <v>2984</v>
      </c>
      <c r="B7" s="7" t="s">
        <v>2985</v>
      </c>
      <c r="C7" s="8">
        <v>1</v>
      </c>
      <c r="D7" s="9">
        <v>179.99</v>
      </c>
      <c r="E7" s="8">
        <v>22326322</v>
      </c>
      <c r="F7" s="7" t="s">
        <v>3477</v>
      </c>
      <c r="G7" s="10"/>
      <c r="H7" s="7" t="s">
        <v>3412</v>
      </c>
      <c r="I7" s="7" t="s">
        <v>3413</v>
      </c>
      <c r="J7" s="7" t="s">
        <v>3358</v>
      </c>
      <c r="K7" s="7" t="s">
        <v>3506</v>
      </c>
      <c r="L7" s="11" t="str">
        <f>HYPERLINK("http://slimages.macys.com/is/image/MCY/16688602 ")</f>
        <v xml:space="preserve">http://slimages.macys.com/is/image/MCY/16688602 </v>
      </c>
    </row>
    <row r="8" spans="1:12" ht="39.950000000000003" customHeight="1" x14ac:dyDescent="0.25">
      <c r="A8" s="6" t="s">
        <v>230</v>
      </c>
      <c r="B8" s="7" t="s">
        <v>231</v>
      </c>
      <c r="C8" s="8">
        <v>1</v>
      </c>
      <c r="D8" s="9">
        <v>119.99</v>
      </c>
      <c r="E8" s="8" t="s">
        <v>232</v>
      </c>
      <c r="F8" s="7" t="s">
        <v>3363</v>
      </c>
      <c r="G8" s="10"/>
      <c r="H8" s="7" t="s">
        <v>3397</v>
      </c>
      <c r="I8" s="7" t="s">
        <v>233</v>
      </c>
      <c r="J8" s="7"/>
      <c r="K8" s="7"/>
      <c r="L8" s="11" t="str">
        <f>HYPERLINK("http://slimages.macys.com/is/image/MCY/17972228 ")</f>
        <v xml:space="preserve">http://slimages.macys.com/is/image/MCY/17972228 </v>
      </c>
    </row>
    <row r="9" spans="1:12" ht="39.950000000000003" customHeight="1" x14ac:dyDescent="0.25">
      <c r="A9" s="6" t="s">
        <v>234</v>
      </c>
      <c r="B9" s="7" t="s">
        <v>235</v>
      </c>
      <c r="C9" s="8">
        <v>1</v>
      </c>
      <c r="D9" s="9">
        <v>131.99</v>
      </c>
      <c r="E9" s="8" t="s">
        <v>236</v>
      </c>
      <c r="F9" s="7" t="s">
        <v>3363</v>
      </c>
      <c r="G9" s="10" t="s">
        <v>3663</v>
      </c>
      <c r="H9" s="7" t="s">
        <v>3388</v>
      </c>
      <c r="I9" s="7" t="s">
        <v>237</v>
      </c>
      <c r="J9" s="7" t="s">
        <v>3358</v>
      </c>
      <c r="K9" s="7" t="s">
        <v>238</v>
      </c>
      <c r="L9" s="11" t="str">
        <f>HYPERLINK("http://slimages.macys.com/is/image/MCY/14925548 ")</f>
        <v xml:space="preserve">http://slimages.macys.com/is/image/MCY/14925548 </v>
      </c>
    </row>
    <row r="10" spans="1:12" ht="39.950000000000003" customHeight="1" x14ac:dyDescent="0.25">
      <c r="A10" s="6" t="s">
        <v>239</v>
      </c>
      <c r="B10" s="7" t="s">
        <v>240</v>
      </c>
      <c r="C10" s="8">
        <v>1</v>
      </c>
      <c r="D10" s="9">
        <v>129.99</v>
      </c>
      <c r="E10" s="8" t="s">
        <v>241</v>
      </c>
      <c r="F10" s="7" t="s">
        <v>3452</v>
      </c>
      <c r="G10" s="10"/>
      <c r="H10" s="7" t="s">
        <v>3356</v>
      </c>
      <c r="I10" s="7" t="s">
        <v>2876</v>
      </c>
      <c r="J10" s="7" t="s">
        <v>3358</v>
      </c>
      <c r="K10" s="7" t="s">
        <v>3390</v>
      </c>
      <c r="L10" s="11" t="str">
        <f>HYPERLINK("http://slimages.macys.com/is/image/MCY/3819330 ")</f>
        <v xml:space="preserve">http://slimages.macys.com/is/image/MCY/3819330 </v>
      </c>
    </row>
    <row r="11" spans="1:12" ht="39.950000000000003" customHeight="1" x14ac:dyDescent="0.25">
      <c r="A11" s="6" t="s">
        <v>242</v>
      </c>
      <c r="B11" s="7" t="s">
        <v>243</v>
      </c>
      <c r="C11" s="8">
        <v>1</v>
      </c>
      <c r="D11" s="9">
        <v>169.99</v>
      </c>
      <c r="E11" s="8" t="s">
        <v>244</v>
      </c>
      <c r="F11" s="7" t="s">
        <v>3363</v>
      </c>
      <c r="G11" s="10"/>
      <c r="H11" s="7" t="s">
        <v>3408</v>
      </c>
      <c r="I11" s="7" t="s">
        <v>3409</v>
      </c>
      <c r="J11" s="7"/>
      <c r="K11" s="7"/>
      <c r="L11" s="11" t="str">
        <f>HYPERLINK("http://slimages.macys.com/is/image/MCY/18941500 ")</f>
        <v xml:space="preserve">http://slimages.macys.com/is/image/MCY/18941500 </v>
      </c>
    </row>
    <row r="12" spans="1:12" ht="39.950000000000003" customHeight="1" x14ac:dyDescent="0.25">
      <c r="A12" s="6" t="s">
        <v>245</v>
      </c>
      <c r="B12" s="7" t="s">
        <v>246</v>
      </c>
      <c r="C12" s="8">
        <v>1</v>
      </c>
      <c r="D12" s="9">
        <v>99.99</v>
      </c>
      <c r="E12" s="8">
        <v>224129</v>
      </c>
      <c r="F12" s="7" t="s">
        <v>3363</v>
      </c>
      <c r="G12" s="10"/>
      <c r="H12" s="7" t="s">
        <v>3397</v>
      </c>
      <c r="I12" s="7" t="s">
        <v>3585</v>
      </c>
      <c r="J12" s="7" t="s">
        <v>3358</v>
      </c>
      <c r="K12" s="7" t="s">
        <v>247</v>
      </c>
      <c r="L12" s="11" t="str">
        <f>HYPERLINK("http://slimages.macys.com/is/image/MCY/15729725 ")</f>
        <v xml:space="preserve">http://slimages.macys.com/is/image/MCY/15729725 </v>
      </c>
    </row>
    <row r="13" spans="1:12" ht="39.950000000000003" customHeight="1" x14ac:dyDescent="0.25">
      <c r="A13" s="6" t="s">
        <v>248</v>
      </c>
      <c r="B13" s="7" t="s">
        <v>249</v>
      </c>
      <c r="C13" s="8">
        <v>1</v>
      </c>
      <c r="D13" s="9">
        <v>230</v>
      </c>
      <c r="E13" s="8" t="s">
        <v>250</v>
      </c>
      <c r="F13" s="7" t="s">
        <v>3384</v>
      </c>
      <c r="G13" s="10"/>
      <c r="H13" s="7" t="s">
        <v>3418</v>
      </c>
      <c r="I13" s="7" t="s">
        <v>3195</v>
      </c>
      <c r="J13" s="7" t="s">
        <v>3751</v>
      </c>
      <c r="K13" s="7" t="s">
        <v>3484</v>
      </c>
      <c r="L13" s="11" t="str">
        <f>HYPERLINK("http://images.bloomingdales.com/is/image/BLM/11020039 ")</f>
        <v xml:space="preserve">http://images.bloomingdales.com/is/image/BLM/11020039 </v>
      </c>
    </row>
    <row r="14" spans="1:12" ht="39.950000000000003" customHeight="1" x14ac:dyDescent="0.25">
      <c r="A14" s="6" t="s">
        <v>251</v>
      </c>
      <c r="B14" s="7" t="s">
        <v>252</v>
      </c>
      <c r="C14" s="8">
        <v>1</v>
      </c>
      <c r="D14" s="9">
        <v>139.99</v>
      </c>
      <c r="E14" s="8" t="s">
        <v>253</v>
      </c>
      <c r="F14" s="7" t="s">
        <v>1506</v>
      </c>
      <c r="G14" s="10"/>
      <c r="H14" s="7" t="s">
        <v>3601</v>
      </c>
      <c r="I14" s="7" t="s">
        <v>3602</v>
      </c>
      <c r="J14" s="7" t="s">
        <v>3358</v>
      </c>
      <c r="K14" s="7" t="s">
        <v>3521</v>
      </c>
      <c r="L14" s="11" t="str">
        <f>HYPERLINK("http://slimages.macys.com/is/image/MCY/8433239 ")</f>
        <v xml:space="preserve">http://slimages.macys.com/is/image/MCY/8433239 </v>
      </c>
    </row>
    <row r="15" spans="1:12" ht="39.950000000000003" customHeight="1" x14ac:dyDescent="0.25">
      <c r="A15" s="6" t="s">
        <v>254</v>
      </c>
      <c r="B15" s="7" t="s">
        <v>255</v>
      </c>
      <c r="C15" s="8">
        <v>1</v>
      </c>
      <c r="D15" s="9">
        <v>99.99</v>
      </c>
      <c r="E15" s="8" t="s">
        <v>256</v>
      </c>
      <c r="F15" s="7" t="s">
        <v>3600</v>
      </c>
      <c r="G15" s="10"/>
      <c r="H15" s="7" t="s">
        <v>3601</v>
      </c>
      <c r="I15" s="7" t="s">
        <v>257</v>
      </c>
      <c r="J15" s="7" t="s">
        <v>3358</v>
      </c>
      <c r="K15" s="7"/>
      <c r="L15" s="11" t="str">
        <f>HYPERLINK("http://slimages.macys.com/is/image/MCY/10015969 ")</f>
        <v xml:space="preserve">http://slimages.macys.com/is/image/MCY/10015969 </v>
      </c>
    </row>
    <row r="16" spans="1:12" ht="39.950000000000003" customHeight="1" x14ac:dyDescent="0.25">
      <c r="A16" s="6" t="s">
        <v>592</v>
      </c>
      <c r="B16" s="7" t="s">
        <v>593</v>
      </c>
      <c r="C16" s="8">
        <v>1</v>
      </c>
      <c r="D16" s="9">
        <v>99.99</v>
      </c>
      <c r="E16" s="8">
        <v>81357</v>
      </c>
      <c r="F16" s="7" t="s">
        <v>3553</v>
      </c>
      <c r="G16" s="10"/>
      <c r="H16" s="7" t="s">
        <v>3412</v>
      </c>
      <c r="I16" s="7" t="s">
        <v>3595</v>
      </c>
      <c r="J16" s="7" t="s">
        <v>3358</v>
      </c>
      <c r="K16" s="7" t="s">
        <v>594</v>
      </c>
      <c r="L16" s="11" t="str">
        <f>HYPERLINK("http://slimages.macys.com/is/image/MCY/15003309 ")</f>
        <v xml:space="preserve">http://slimages.macys.com/is/image/MCY/15003309 </v>
      </c>
    </row>
    <row r="17" spans="1:12" ht="39.950000000000003" customHeight="1" x14ac:dyDescent="0.25">
      <c r="A17" s="6" t="s">
        <v>258</v>
      </c>
      <c r="B17" s="7" t="s">
        <v>259</v>
      </c>
      <c r="C17" s="8">
        <v>1</v>
      </c>
      <c r="D17" s="9">
        <v>99.99</v>
      </c>
      <c r="E17" s="8" t="s">
        <v>260</v>
      </c>
      <c r="F17" s="7" t="s">
        <v>3363</v>
      </c>
      <c r="G17" s="10"/>
      <c r="H17" s="7" t="s">
        <v>3601</v>
      </c>
      <c r="I17" s="7" t="s">
        <v>3602</v>
      </c>
      <c r="J17" s="7" t="s">
        <v>3358</v>
      </c>
      <c r="K17" s="7" t="s">
        <v>3521</v>
      </c>
      <c r="L17" s="11" t="str">
        <f>HYPERLINK("http://slimages.macys.com/is/image/MCY/8433239 ")</f>
        <v xml:space="preserve">http://slimages.macys.com/is/image/MCY/8433239 </v>
      </c>
    </row>
    <row r="18" spans="1:12" ht="39.950000000000003" customHeight="1" x14ac:dyDescent="0.25">
      <c r="A18" s="6" t="s">
        <v>261</v>
      </c>
      <c r="B18" s="7" t="s">
        <v>262</v>
      </c>
      <c r="C18" s="8">
        <v>1</v>
      </c>
      <c r="D18" s="9">
        <v>89.99</v>
      </c>
      <c r="E18" s="8">
        <v>68</v>
      </c>
      <c r="F18" s="7" t="s">
        <v>3498</v>
      </c>
      <c r="G18" s="10"/>
      <c r="H18" s="7" t="s">
        <v>3356</v>
      </c>
      <c r="I18" s="7" t="s">
        <v>2358</v>
      </c>
      <c r="J18" s="7"/>
      <c r="K18" s="7"/>
      <c r="L18" s="11" t="str">
        <f>HYPERLINK("http://slimages.macys.com/is/image/MCY/17673669 ")</f>
        <v xml:space="preserve">http://slimages.macys.com/is/image/MCY/17673669 </v>
      </c>
    </row>
    <row r="19" spans="1:12" ht="39.950000000000003" customHeight="1" x14ac:dyDescent="0.25">
      <c r="A19" s="6" t="s">
        <v>263</v>
      </c>
      <c r="B19" s="7" t="s">
        <v>264</v>
      </c>
      <c r="C19" s="8">
        <v>1</v>
      </c>
      <c r="D19" s="9">
        <v>99.99</v>
      </c>
      <c r="E19" s="8" t="s">
        <v>265</v>
      </c>
      <c r="F19" s="7" t="s">
        <v>3525</v>
      </c>
      <c r="G19" s="10"/>
      <c r="H19" s="7" t="s">
        <v>3408</v>
      </c>
      <c r="I19" s="7" t="s">
        <v>3409</v>
      </c>
      <c r="J19" s="7" t="s">
        <v>3358</v>
      </c>
      <c r="K19" s="7" t="s">
        <v>4002</v>
      </c>
      <c r="L19" s="11" t="str">
        <f>HYPERLINK("http://slimages.macys.com/is/image/MCY/14607158 ")</f>
        <v xml:space="preserve">http://slimages.macys.com/is/image/MCY/14607158 </v>
      </c>
    </row>
    <row r="20" spans="1:12" ht="39.950000000000003" customHeight="1" x14ac:dyDescent="0.25">
      <c r="A20" s="6" t="s">
        <v>266</v>
      </c>
      <c r="B20" s="7" t="s">
        <v>267</v>
      </c>
      <c r="C20" s="8">
        <v>1</v>
      </c>
      <c r="D20" s="9">
        <v>59.99</v>
      </c>
      <c r="E20" s="8" t="s">
        <v>268</v>
      </c>
      <c r="F20" s="7" t="s">
        <v>3498</v>
      </c>
      <c r="G20" s="10"/>
      <c r="H20" s="7" t="s">
        <v>3526</v>
      </c>
      <c r="I20" s="7" t="s">
        <v>3865</v>
      </c>
      <c r="J20" s="7"/>
      <c r="K20" s="7"/>
      <c r="L20" s="11" t="str">
        <f>HYPERLINK("http://slimages.macys.com/is/image/MCY/17822518 ")</f>
        <v xml:space="preserve">http://slimages.macys.com/is/image/MCY/17822518 </v>
      </c>
    </row>
    <row r="21" spans="1:12" ht="39.950000000000003" customHeight="1" x14ac:dyDescent="0.25">
      <c r="A21" s="6" t="s">
        <v>269</v>
      </c>
      <c r="B21" s="7" t="s">
        <v>270</v>
      </c>
      <c r="C21" s="8">
        <v>1</v>
      </c>
      <c r="D21" s="9">
        <v>64.989999999999995</v>
      </c>
      <c r="E21" s="8">
        <v>100071457</v>
      </c>
      <c r="F21" s="7" t="s">
        <v>3355</v>
      </c>
      <c r="G21" s="10" t="s">
        <v>3453</v>
      </c>
      <c r="H21" s="7" t="s">
        <v>3454</v>
      </c>
      <c r="I21" s="7" t="s">
        <v>3915</v>
      </c>
      <c r="J21" s="7" t="s">
        <v>3358</v>
      </c>
      <c r="K21" s="7"/>
      <c r="L21" s="11" t="str">
        <f>HYPERLINK("http://slimages.macys.com/is/image/MCY/17792861 ")</f>
        <v xml:space="preserve">http://slimages.macys.com/is/image/MCY/17792861 </v>
      </c>
    </row>
    <row r="22" spans="1:12" ht="39.950000000000003" customHeight="1" x14ac:dyDescent="0.25">
      <c r="A22" s="6" t="s">
        <v>271</v>
      </c>
      <c r="B22" s="7" t="s">
        <v>272</v>
      </c>
      <c r="C22" s="8">
        <v>1</v>
      </c>
      <c r="D22" s="9">
        <v>99.99</v>
      </c>
      <c r="E22" s="8" t="s">
        <v>273</v>
      </c>
      <c r="F22" s="7" t="s">
        <v>3525</v>
      </c>
      <c r="G22" s="10" t="s">
        <v>3788</v>
      </c>
      <c r="H22" s="7" t="s">
        <v>3658</v>
      </c>
      <c r="I22" s="7" t="s">
        <v>3659</v>
      </c>
      <c r="J22" s="7" t="s">
        <v>3358</v>
      </c>
      <c r="K22" s="7" t="s">
        <v>598</v>
      </c>
      <c r="L22" s="11" t="str">
        <f>HYPERLINK("http://slimages.macys.com/is/image/MCY/12072430 ")</f>
        <v xml:space="preserve">http://slimages.macys.com/is/image/MCY/12072430 </v>
      </c>
    </row>
    <row r="23" spans="1:12" ht="39.950000000000003" customHeight="1" x14ac:dyDescent="0.25">
      <c r="A23" s="6" t="s">
        <v>274</v>
      </c>
      <c r="B23" s="7" t="s">
        <v>275</v>
      </c>
      <c r="C23" s="8">
        <v>1</v>
      </c>
      <c r="D23" s="9">
        <v>139.99</v>
      </c>
      <c r="E23" s="8" t="s">
        <v>276</v>
      </c>
      <c r="F23" s="7" t="s">
        <v>3363</v>
      </c>
      <c r="G23" s="10" t="s">
        <v>2497</v>
      </c>
      <c r="H23" s="7" t="s">
        <v>3365</v>
      </c>
      <c r="I23" s="7" t="s">
        <v>3366</v>
      </c>
      <c r="J23" s="7" t="s">
        <v>3358</v>
      </c>
      <c r="K23" s="7" t="s">
        <v>4138</v>
      </c>
      <c r="L23" s="11" t="str">
        <f>HYPERLINK("http://slimages.macys.com/is/image/MCY/8182285 ")</f>
        <v xml:space="preserve">http://slimages.macys.com/is/image/MCY/8182285 </v>
      </c>
    </row>
    <row r="24" spans="1:12" ht="39.950000000000003" customHeight="1" x14ac:dyDescent="0.25">
      <c r="A24" s="6" t="s">
        <v>277</v>
      </c>
      <c r="B24" s="7" t="s">
        <v>278</v>
      </c>
      <c r="C24" s="8">
        <v>1</v>
      </c>
      <c r="D24" s="9">
        <v>49.99</v>
      </c>
      <c r="E24" s="8" t="s">
        <v>279</v>
      </c>
      <c r="F24" s="7" t="s">
        <v>3355</v>
      </c>
      <c r="G24" s="10"/>
      <c r="H24" s="7" t="s">
        <v>3526</v>
      </c>
      <c r="I24" s="7" t="s">
        <v>3865</v>
      </c>
      <c r="J24" s="7" t="s">
        <v>3358</v>
      </c>
      <c r="K24" s="7"/>
      <c r="L24" s="11" t="str">
        <f>HYPERLINK("http://slimages.macys.com/is/image/MCY/12658743 ")</f>
        <v xml:space="preserve">http://slimages.macys.com/is/image/MCY/12658743 </v>
      </c>
    </row>
    <row r="25" spans="1:12" ht="39.950000000000003" customHeight="1" x14ac:dyDescent="0.25">
      <c r="A25" s="6" t="s">
        <v>280</v>
      </c>
      <c r="B25" s="7" t="s">
        <v>281</v>
      </c>
      <c r="C25" s="8">
        <v>1</v>
      </c>
      <c r="D25" s="9">
        <v>47.99</v>
      </c>
      <c r="E25" s="8" t="s">
        <v>3185</v>
      </c>
      <c r="F25" s="7" t="s">
        <v>3889</v>
      </c>
      <c r="G25" s="10"/>
      <c r="H25" s="7" t="s">
        <v>3526</v>
      </c>
      <c r="I25" s="7" t="s">
        <v>3186</v>
      </c>
      <c r="J25" s="7" t="s">
        <v>3358</v>
      </c>
      <c r="K25" s="7" t="s">
        <v>3187</v>
      </c>
      <c r="L25" s="11" t="str">
        <f>HYPERLINK("http://slimages.macys.com/is/image/MCY/16450054 ")</f>
        <v xml:space="preserve">http://slimages.macys.com/is/image/MCY/16450054 </v>
      </c>
    </row>
    <row r="26" spans="1:12" ht="39.950000000000003" customHeight="1" x14ac:dyDescent="0.25">
      <c r="A26" s="6" t="s">
        <v>1547</v>
      </c>
      <c r="B26" s="7" t="s">
        <v>1548</v>
      </c>
      <c r="C26" s="8">
        <v>1</v>
      </c>
      <c r="D26" s="9">
        <v>59.99</v>
      </c>
      <c r="E26" s="8">
        <v>21478122</v>
      </c>
      <c r="F26" s="7"/>
      <c r="G26" s="10"/>
      <c r="H26" s="7" t="s">
        <v>3412</v>
      </c>
      <c r="I26" s="7" t="s">
        <v>3413</v>
      </c>
      <c r="J26" s="7" t="s">
        <v>3358</v>
      </c>
      <c r="K26" s="7" t="s">
        <v>3390</v>
      </c>
      <c r="L26" s="11" t="str">
        <f>HYPERLINK("http://slimages.macys.com/is/image/MCY/15396834 ")</f>
        <v xml:space="preserve">http://slimages.macys.com/is/image/MCY/15396834 </v>
      </c>
    </row>
    <row r="27" spans="1:12" ht="39.950000000000003" customHeight="1" x14ac:dyDescent="0.25">
      <c r="A27" s="6" t="s">
        <v>282</v>
      </c>
      <c r="B27" s="7" t="s">
        <v>283</v>
      </c>
      <c r="C27" s="8">
        <v>1</v>
      </c>
      <c r="D27" s="9">
        <v>58.99</v>
      </c>
      <c r="E27" s="8" t="s">
        <v>284</v>
      </c>
      <c r="F27" s="7" t="s">
        <v>3650</v>
      </c>
      <c r="G27" s="10"/>
      <c r="H27" s="7" t="s">
        <v>3412</v>
      </c>
      <c r="I27" s="7" t="s">
        <v>3064</v>
      </c>
      <c r="J27" s="7" t="s">
        <v>3358</v>
      </c>
      <c r="K27" s="7" t="s">
        <v>285</v>
      </c>
      <c r="L27" s="11" t="str">
        <f>HYPERLINK("http://slimages.macys.com/is/image/MCY/14540133 ")</f>
        <v xml:space="preserve">http://slimages.macys.com/is/image/MCY/14540133 </v>
      </c>
    </row>
    <row r="28" spans="1:12" ht="39.950000000000003" customHeight="1" x14ac:dyDescent="0.25">
      <c r="A28" s="6" t="s">
        <v>286</v>
      </c>
      <c r="B28" s="7" t="s">
        <v>2681</v>
      </c>
      <c r="C28" s="8">
        <v>1</v>
      </c>
      <c r="D28" s="9">
        <v>51.99</v>
      </c>
      <c r="E28" s="8" t="s">
        <v>287</v>
      </c>
      <c r="F28" s="7" t="s">
        <v>3363</v>
      </c>
      <c r="G28" s="10" t="s">
        <v>3645</v>
      </c>
      <c r="H28" s="7" t="s">
        <v>3388</v>
      </c>
      <c r="I28" s="7" t="s">
        <v>3664</v>
      </c>
      <c r="J28" s="7" t="s">
        <v>3692</v>
      </c>
      <c r="K28" s="7" t="s">
        <v>2683</v>
      </c>
      <c r="L28" s="11" t="str">
        <f>HYPERLINK("http://slimages.macys.com/is/image/MCY/11798182 ")</f>
        <v xml:space="preserve">http://slimages.macys.com/is/image/MCY/11798182 </v>
      </c>
    </row>
    <row r="29" spans="1:12" ht="39.950000000000003" customHeight="1" x14ac:dyDescent="0.25">
      <c r="A29" s="6" t="s">
        <v>3061</v>
      </c>
      <c r="B29" s="7" t="s">
        <v>3062</v>
      </c>
      <c r="C29" s="8">
        <v>1</v>
      </c>
      <c r="D29" s="9">
        <v>57.99</v>
      </c>
      <c r="E29" s="8" t="s">
        <v>3063</v>
      </c>
      <c r="F29" s="7" t="s">
        <v>3363</v>
      </c>
      <c r="G29" s="10"/>
      <c r="H29" s="7" t="s">
        <v>3492</v>
      </c>
      <c r="I29" s="7" t="s">
        <v>3064</v>
      </c>
      <c r="J29" s="7" t="s">
        <v>3358</v>
      </c>
      <c r="K29" s="7" t="s">
        <v>3390</v>
      </c>
      <c r="L29" s="11" t="str">
        <f>HYPERLINK("http://slimages.macys.com/is/image/MCY/14425148 ")</f>
        <v xml:space="preserve">http://slimages.macys.com/is/image/MCY/14425148 </v>
      </c>
    </row>
    <row r="30" spans="1:12" ht="39.950000000000003" customHeight="1" x14ac:dyDescent="0.25">
      <c r="A30" s="6" t="s">
        <v>288</v>
      </c>
      <c r="B30" s="7" t="s">
        <v>289</v>
      </c>
      <c r="C30" s="8">
        <v>1</v>
      </c>
      <c r="D30" s="9">
        <v>44.99</v>
      </c>
      <c r="E30" s="8" t="s">
        <v>290</v>
      </c>
      <c r="F30" s="7" t="s">
        <v>3384</v>
      </c>
      <c r="G30" s="10"/>
      <c r="H30" s="7" t="s">
        <v>3492</v>
      </c>
      <c r="I30" s="7" t="s">
        <v>3436</v>
      </c>
      <c r="J30" s="7" t="s">
        <v>3358</v>
      </c>
      <c r="K30" s="7" t="s">
        <v>3390</v>
      </c>
      <c r="L30" s="11" t="str">
        <f>HYPERLINK("http://slimages.macys.com/is/image/MCY/16396101 ")</f>
        <v xml:space="preserve">http://slimages.macys.com/is/image/MCY/16396101 </v>
      </c>
    </row>
    <row r="31" spans="1:12" ht="39.950000000000003" customHeight="1" x14ac:dyDescent="0.25">
      <c r="A31" s="6" t="s">
        <v>291</v>
      </c>
      <c r="B31" s="7" t="s">
        <v>292</v>
      </c>
      <c r="C31" s="8">
        <v>1</v>
      </c>
      <c r="D31" s="9">
        <v>35.99</v>
      </c>
      <c r="E31" s="8">
        <v>57830</v>
      </c>
      <c r="F31" s="7" t="s">
        <v>3531</v>
      </c>
      <c r="G31" s="10"/>
      <c r="H31" s="7" t="s">
        <v>3492</v>
      </c>
      <c r="I31" s="7" t="s">
        <v>3636</v>
      </c>
      <c r="J31" s="7"/>
      <c r="K31" s="7"/>
      <c r="L31" s="11" t="str">
        <f>HYPERLINK("http://slimages.macys.com/is/image/MCY/17938758 ")</f>
        <v xml:space="preserve">http://slimages.macys.com/is/image/MCY/17938758 </v>
      </c>
    </row>
    <row r="32" spans="1:12" ht="39.950000000000003" customHeight="1" x14ac:dyDescent="0.25">
      <c r="A32" s="6" t="s">
        <v>3902</v>
      </c>
      <c r="B32" s="7" t="s">
        <v>3903</v>
      </c>
      <c r="C32" s="8">
        <v>1</v>
      </c>
      <c r="D32" s="9">
        <v>59.99</v>
      </c>
      <c r="E32" s="8">
        <v>10004897500</v>
      </c>
      <c r="F32" s="7" t="s">
        <v>3904</v>
      </c>
      <c r="G32" s="10"/>
      <c r="H32" s="7" t="s">
        <v>3658</v>
      </c>
      <c r="I32" s="7" t="s">
        <v>3905</v>
      </c>
      <c r="J32" s="7" t="s">
        <v>3358</v>
      </c>
      <c r="K32" s="7"/>
      <c r="L32" s="11" t="str">
        <f>HYPERLINK("http://slimages.macys.com/is/image/MCY/14823286 ")</f>
        <v xml:space="preserve">http://slimages.macys.com/is/image/MCY/14823286 </v>
      </c>
    </row>
    <row r="33" spans="1:12" ht="39.950000000000003" customHeight="1" x14ac:dyDescent="0.25">
      <c r="A33" s="6" t="s">
        <v>3684</v>
      </c>
      <c r="B33" s="7" t="s">
        <v>3685</v>
      </c>
      <c r="C33" s="8">
        <v>1</v>
      </c>
      <c r="D33" s="9">
        <v>79.989999999999995</v>
      </c>
      <c r="E33" s="8" t="s">
        <v>3686</v>
      </c>
      <c r="F33" s="7" t="s">
        <v>3363</v>
      </c>
      <c r="G33" s="10"/>
      <c r="H33" s="7" t="s">
        <v>3471</v>
      </c>
      <c r="I33" s="7" t="s">
        <v>3378</v>
      </c>
      <c r="J33" s="7" t="s">
        <v>3608</v>
      </c>
      <c r="K33" s="7"/>
      <c r="L33" s="11" t="str">
        <f>HYPERLINK("http://slimages.macys.com/is/image/MCY/12779303 ")</f>
        <v xml:space="preserve">http://slimages.macys.com/is/image/MCY/12779303 </v>
      </c>
    </row>
    <row r="34" spans="1:12" ht="39.950000000000003" customHeight="1" x14ac:dyDescent="0.25">
      <c r="A34" s="6" t="s">
        <v>293</v>
      </c>
      <c r="B34" s="7" t="s">
        <v>294</v>
      </c>
      <c r="C34" s="8">
        <v>1</v>
      </c>
      <c r="D34" s="9">
        <v>33.99</v>
      </c>
      <c r="E34" s="8" t="s">
        <v>295</v>
      </c>
      <c r="F34" s="7" t="s">
        <v>3701</v>
      </c>
      <c r="G34" s="10"/>
      <c r="H34" s="7" t="s">
        <v>3515</v>
      </c>
      <c r="I34" s="7" t="s">
        <v>2539</v>
      </c>
      <c r="J34" s="7" t="s">
        <v>3358</v>
      </c>
      <c r="K34" s="7" t="s">
        <v>3390</v>
      </c>
      <c r="L34" s="11" t="str">
        <f>HYPERLINK("http://slimages.macys.com/is/image/MCY/15394209 ")</f>
        <v xml:space="preserve">http://slimages.macys.com/is/image/MCY/15394209 </v>
      </c>
    </row>
    <row r="35" spans="1:12" ht="39.950000000000003" customHeight="1" x14ac:dyDescent="0.25">
      <c r="A35" s="6" t="s">
        <v>296</v>
      </c>
      <c r="B35" s="7" t="s">
        <v>297</v>
      </c>
      <c r="C35" s="8">
        <v>4</v>
      </c>
      <c r="D35" s="9">
        <v>131.96</v>
      </c>
      <c r="E35" s="8">
        <v>17787</v>
      </c>
      <c r="F35" s="7" t="s">
        <v>3371</v>
      </c>
      <c r="G35" s="10"/>
      <c r="H35" s="7" t="s">
        <v>3492</v>
      </c>
      <c r="I35" s="7" t="s">
        <v>2204</v>
      </c>
      <c r="J35" s="7" t="s">
        <v>3358</v>
      </c>
      <c r="K35" s="7" t="s">
        <v>3390</v>
      </c>
      <c r="L35" s="11" t="str">
        <f>HYPERLINK("http://slimages.macys.com/is/image/MCY/9168717 ")</f>
        <v xml:space="preserve">http://slimages.macys.com/is/image/MCY/9168717 </v>
      </c>
    </row>
    <row r="36" spans="1:12" ht="39.950000000000003" customHeight="1" x14ac:dyDescent="0.25">
      <c r="A36" s="6" t="s">
        <v>4132</v>
      </c>
      <c r="B36" s="7" t="s">
        <v>4133</v>
      </c>
      <c r="C36" s="8">
        <v>1</v>
      </c>
      <c r="D36" s="9">
        <v>39.99</v>
      </c>
      <c r="E36" s="8">
        <v>130118</v>
      </c>
      <c r="F36" s="7" t="s">
        <v>3363</v>
      </c>
      <c r="G36" s="10"/>
      <c r="H36" s="7" t="s">
        <v>3422</v>
      </c>
      <c r="I36" s="7" t="s">
        <v>3423</v>
      </c>
      <c r="J36" s="7" t="s">
        <v>3358</v>
      </c>
      <c r="K36" s="7" t="s">
        <v>4134</v>
      </c>
      <c r="L36" s="11" t="str">
        <f>HYPERLINK("http://slimages.macys.com/is/image/MCY/3895749 ")</f>
        <v xml:space="preserve">http://slimages.macys.com/is/image/MCY/3895749 </v>
      </c>
    </row>
    <row r="37" spans="1:12" ht="39.950000000000003" customHeight="1" x14ac:dyDescent="0.25">
      <c r="A37" s="6" t="s">
        <v>298</v>
      </c>
      <c r="B37" s="7" t="s">
        <v>299</v>
      </c>
      <c r="C37" s="8">
        <v>1</v>
      </c>
      <c r="D37" s="9">
        <v>39.99</v>
      </c>
      <c r="E37" s="8" t="s">
        <v>300</v>
      </c>
      <c r="F37" s="7" t="s">
        <v>3668</v>
      </c>
      <c r="G37" s="10" t="s">
        <v>3947</v>
      </c>
      <c r="H37" s="7" t="s">
        <v>3492</v>
      </c>
      <c r="I37" s="7" t="s">
        <v>2774</v>
      </c>
      <c r="J37" s="7" t="s">
        <v>3379</v>
      </c>
      <c r="K37" s="7" t="s">
        <v>21</v>
      </c>
      <c r="L37" s="11" t="str">
        <f>HYPERLINK("http://slimages.macys.com/is/image/MCY/16368486 ")</f>
        <v xml:space="preserve">http://slimages.macys.com/is/image/MCY/16368486 </v>
      </c>
    </row>
    <row r="38" spans="1:12" ht="39.950000000000003" customHeight="1" x14ac:dyDescent="0.25">
      <c r="A38" s="6" t="s">
        <v>301</v>
      </c>
      <c r="B38" s="7" t="s">
        <v>302</v>
      </c>
      <c r="C38" s="8">
        <v>1</v>
      </c>
      <c r="D38" s="9">
        <v>24.99</v>
      </c>
      <c r="E38" s="8" t="s">
        <v>303</v>
      </c>
      <c r="F38" s="7" t="s">
        <v>3384</v>
      </c>
      <c r="G38" s="10"/>
      <c r="H38" s="7" t="s">
        <v>3492</v>
      </c>
      <c r="I38" s="7" t="s">
        <v>3499</v>
      </c>
      <c r="J38" s="7" t="s">
        <v>3358</v>
      </c>
      <c r="K38" s="7"/>
      <c r="L38" s="11" t="str">
        <f>HYPERLINK("http://slimages.macys.com/is/image/MCY/16339129 ")</f>
        <v xml:space="preserve">http://slimages.macys.com/is/image/MCY/16339129 </v>
      </c>
    </row>
    <row r="39" spans="1:12" ht="39.950000000000003" customHeight="1" x14ac:dyDescent="0.25">
      <c r="A39" s="6" t="s">
        <v>1421</v>
      </c>
      <c r="B39" s="7" t="s">
        <v>1422</v>
      </c>
      <c r="C39" s="8">
        <v>1</v>
      </c>
      <c r="D39" s="9">
        <v>24.99</v>
      </c>
      <c r="E39" s="8" t="s">
        <v>1423</v>
      </c>
      <c r="F39" s="7" t="s">
        <v>3498</v>
      </c>
      <c r="G39" s="10"/>
      <c r="H39" s="7" t="s">
        <v>3356</v>
      </c>
      <c r="I39" s="7" t="s">
        <v>3651</v>
      </c>
      <c r="J39" s="7" t="s">
        <v>3358</v>
      </c>
      <c r="K39" s="7" t="s">
        <v>3390</v>
      </c>
      <c r="L39" s="11" t="str">
        <f>HYPERLINK("http://slimages.macys.com/is/image/MCY/2861128 ")</f>
        <v xml:space="preserve">http://slimages.macys.com/is/image/MCY/2861128 </v>
      </c>
    </row>
    <row r="40" spans="1:12" ht="39.950000000000003" customHeight="1" x14ac:dyDescent="0.25">
      <c r="A40" s="6" t="s">
        <v>304</v>
      </c>
      <c r="B40" s="7" t="s">
        <v>305</v>
      </c>
      <c r="C40" s="8">
        <v>1</v>
      </c>
      <c r="D40" s="9">
        <v>24.99</v>
      </c>
      <c r="E40" s="8">
        <v>56255</v>
      </c>
      <c r="F40" s="7" t="s">
        <v>3531</v>
      </c>
      <c r="G40" s="10"/>
      <c r="H40" s="7" t="s">
        <v>3492</v>
      </c>
      <c r="I40" s="7" t="s">
        <v>3636</v>
      </c>
      <c r="J40" s="7" t="s">
        <v>3358</v>
      </c>
      <c r="K40" s="7" t="s">
        <v>3390</v>
      </c>
      <c r="L40" s="11" t="str">
        <f>HYPERLINK("http://slimages.macys.com/is/image/MCY/16059796 ")</f>
        <v xml:space="preserve">http://slimages.macys.com/is/image/MCY/16059796 </v>
      </c>
    </row>
    <row r="41" spans="1:12" ht="39.950000000000003" customHeight="1" x14ac:dyDescent="0.25">
      <c r="A41" s="6" t="s">
        <v>306</v>
      </c>
      <c r="B41" s="7" t="s">
        <v>307</v>
      </c>
      <c r="C41" s="8">
        <v>1</v>
      </c>
      <c r="D41" s="9">
        <v>35.99</v>
      </c>
      <c r="E41" s="8" t="s">
        <v>308</v>
      </c>
      <c r="F41" s="7" t="s">
        <v>3498</v>
      </c>
      <c r="G41" s="10" t="s">
        <v>3788</v>
      </c>
      <c r="H41" s="7" t="s">
        <v>3377</v>
      </c>
      <c r="I41" s="7" t="s">
        <v>3478</v>
      </c>
      <c r="J41" s="7" t="s">
        <v>3751</v>
      </c>
      <c r="K41" s="7" t="s">
        <v>3390</v>
      </c>
      <c r="L41" s="11" t="str">
        <f>HYPERLINK("http://slimages.macys.com/is/image/MCY/9489266 ")</f>
        <v xml:space="preserve">http://slimages.macys.com/is/image/MCY/9489266 </v>
      </c>
    </row>
    <row r="42" spans="1:12" ht="39.950000000000003" customHeight="1" x14ac:dyDescent="0.25">
      <c r="A42" s="6" t="s">
        <v>309</v>
      </c>
      <c r="B42" s="7" t="s">
        <v>310</v>
      </c>
      <c r="C42" s="8">
        <v>1</v>
      </c>
      <c r="D42" s="9">
        <v>18.989999999999998</v>
      </c>
      <c r="E42" s="8" t="s">
        <v>311</v>
      </c>
      <c r="F42" s="7" t="s">
        <v>3525</v>
      </c>
      <c r="G42" s="10"/>
      <c r="H42" s="7" t="s">
        <v>3515</v>
      </c>
      <c r="I42" s="7" t="s">
        <v>1498</v>
      </c>
      <c r="J42" s="7" t="s">
        <v>3358</v>
      </c>
      <c r="K42" s="7" t="s">
        <v>1499</v>
      </c>
      <c r="L42" s="11" t="str">
        <f>HYPERLINK("http://slimages.macys.com/is/image/MCY/12925566 ")</f>
        <v xml:space="preserve">http://slimages.macys.com/is/image/MCY/12925566 </v>
      </c>
    </row>
    <row r="43" spans="1:12" ht="39.950000000000003" customHeight="1" x14ac:dyDescent="0.25">
      <c r="A43" s="6" t="s">
        <v>312</v>
      </c>
      <c r="B43" s="7" t="s">
        <v>313</v>
      </c>
      <c r="C43" s="8">
        <v>5</v>
      </c>
      <c r="D43" s="9">
        <v>94.95</v>
      </c>
      <c r="E43" s="8" t="s">
        <v>314</v>
      </c>
      <c r="F43" s="7" t="s">
        <v>3525</v>
      </c>
      <c r="G43" s="10"/>
      <c r="H43" s="7" t="s">
        <v>3515</v>
      </c>
      <c r="I43" s="7" t="s">
        <v>1498</v>
      </c>
      <c r="J43" s="7" t="s">
        <v>3358</v>
      </c>
      <c r="K43" s="7" t="s">
        <v>1499</v>
      </c>
      <c r="L43" s="11" t="str">
        <f>HYPERLINK("http://slimages.macys.com/is/image/MCY/12925670 ")</f>
        <v xml:space="preserve">http://slimages.macys.com/is/image/MCY/12925670 </v>
      </c>
    </row>
    <row r="44" spans="1:12" ht="39.950000000000003" customHeight="1" x14ac:dyDescent="0.25">
      <c r="A44" s="6" t="s">
        <v>315</v>
      </c>
      <c r="B44" s="7" t="s">
        <v>316</v>
      </c>
      <c r="C44" s="8">
        <v>1</v>
      </c>
      <c r="D44" s="9">
        <v>24.99</v>
      </c>
      <c r="E44" s="8">
        <v>100088905</v>
      </c>
      <c r="F44" s="7" t="s">
        <v>2740</v>
      </c>
      <c r="G44" s="10" t="s">
        <v>3453</v>
      </c>
      <c r="H44" s="7" t="s">
        <v>3418</v>
      </c>
      <c r="I44" s="7" t="s">
        <v>3993</v>
      </c>
      <c r="J44" s="7" t="s">
        <v>3358</v>
      </c>
      <c r="K44" s="7"/>
      <c r="L44" s="11" t="str">
        <f>HYPERLINK("http://slimages.macys.com/is/image/MCY/16353178 ")</f>
        <v xml:space="preserve">http://slimages.macys.com/is/image/MCY/16353178 </v>
      </c>
    </row>
    <row r="45" spans="1:12" ht="39.950000000000003" customHeight="1" x14ac:dyDescent="0.25">
      <c r="A45" s="6" t="s">
        <v>317</v>
      </c>
      <c r="B45" s="7" t="s">
        <v>318</v>
      </c>
      <c r="C45" s="8">
        <v>1</v>
      </c>
      <c r="D45" s="9">
        <v>21.99</v>
      </c>
      <c r="E45" s="8">
        <v>53580</v>
      </c>
      <c r="F45" s="7" t="s">
        <v>3363</v>
      </c>
      <c r="G45" s="10"/>
      <c r="H45" s="7" t="s">
        <v>3492</v>
      </c>
      <c r="I45" s="7" t="s">
        <v>3636</v>
      </c>
      <c r="J45" s="7" t="s">
        <v>3358</v>
      </c>
      <c r="K45" s="7"/>
      <c r="L45" s="11" t="str">
        <f>HYPERLINK("http://slimages.macys.com/is/image/MCY/9972680 ")</f>
        <v xml:space="preserve">http://slimages.macys.com/is/image/MCY/9972680 </v>
      </c>
    </row>
    <row r="46" spans="1:12" ht="39.950000000000003" customHeight="1" x14ac:dyDescent="0.25">
      <c r="A46" s="6" t="s">
        <v>1922</v>
      </c>
      <c r="B46" s="7" t="s">
        <v>1923</v>
      </c>
      <c r="C46" s="8">
        <v>1</v>
      </c>
      <c r="D46" s="9">
        <v>29.99</v>
      </c>
      <c r="E46" s="8" t="s">
        <v>3977</v>
      </c>
      <c r="F46" s="7" t="s">
        <v>3363</v>
      </c>
      <c r="G46" s="10"/>
      <c r="H46" s="7" t="s">
        <v>3408</v>
      </c>
      <c r="I46" s="7" t="s">
        <v>3409</v>
      </c>
      <c r="J46" s="7" t="s">
        <v>3751</v>
      </c>
      <c r="K46" s="7" t="s">
        <v>3582</v>
      </c>
      <c r="L46" s="11" t="str">
        <f>HYPERLINK("http://slimages.macys.com/is/image/MCY/11320819 ")</f>
        <v xml:space="preserve">http://slimages.macys.com/is/image/MCY/11320819 </v>
      </c>
    </row>
    <row r="47" spans="1:12" ht="39.950000000000003" customHeight="1" x14ac:dyDescent="0.25">
      <c r="A47" s="6" t="s">
        <v>319</v>
      </c>
      <c r="B47" s="7" t="s">
        <v>320</v>
      </c>
      <c r="C47" s="8">
        <v>1</v>
      </c>
      <c r="D47" s="9">
        <v>34.99</v>
      </c>
      <c r="E47" s="8" t="s">
        <v>321</v>
      </c>
      <c r="F47" s="7" t="s">
        <v>3363</v>
      </c>
      <c r="G47" s="10"/>
      <c r="H47" s="7" t="s">
        <v>3471</v>
      </c>
      <c r="I47" s="7" t="s">
        <v>3378</v>
      </c>
      <c r="J47" s="7" t="s">
        <v>3379</v>
      </c>
      <c r="K47" s="7"/>
      <c r="L47" s="11" t="str">
        <f>HYPERLINK("http://slimages.macys.com/is/image/MCY/12384987 ")</f>
        <v xml:space="preserve">http://slimages.macys.com/is/image/MCY/12384987 </v>
      </c>
    </row>
    <row r="48" spans="1:12" ht="39.950000000000003" customHeight="1" x14ac:dyDescent="0.25">
      <c r="A48" s="6" t="s">
        <v>322</v>
      </c>
      <c r="B48" s="7" t="s">
        <v>323</v>
      </c>
      <c r="C48" s="8">
        <v>8</v>
      </c>
      <c r="D48" s="9">
        <v>151.91999999999999</v>
      </c>
      <c r="E48" s="8">
        <v>6426194</v>
      </c>
      <c r="F48" s="7" t="s">
        <v>3531</v>
      </c>
      <c r="G48" s="10"/>
      <c r="H48" s="7" t="s">
        <v>3492</v>
      </c>
      <c r="I48" s="7" t="s">
        <v>3998</v>
      </c>
      <c r="J48" s="7" t="s">
        <v>3358</v>
      </c>
      <c r="K48" s="7" t="s">
        <v>3390</v>
      </c>
      <c r="L48" s="11" t="str">
        <f>HYPERLINK("http://slimages.macys.com/is/image/MCY/1594475 ")</f>
        <v xml:space="preserve">http://slimages.macys.com/is/image/MCY/1594475 </v>
      </c>
    </row>
    <row r="49" spans="1:12" ht="39.950000000000003" customHeight="1" x14ac:dyDescent="0.25">
      <c r="A49" s="6" t="s">
        <v>324</v>
      </c>
      <c r="B49" s="7" t="s">
        <v>325</v>
      </c>
      <c r="C49" s="8">
        <v>1</v>
      </c>
      <c r="D49" s="9">
        <v>20.99</v>
      </c>
      <c r="E49" s="8">
        <v>53456</v>
      </c>
      <c r="F49" s="7" t="s">
        <v>3525</v>
      </c>
      <c r="G49" s="10" t="s">
        <v>2207</v>
      </c>
      <c r="H49" s="7" t="s">
        <v>3492</v>
      </c>
      <c r="I49" s="7" t="s">
        <v>3636</v>
      </c>
      <c r="J49" s="7" t="s">
        <v>3358</v>
      </c>
      <c r="K49" s="7" t="s">
        <v>3390</v>
      </c>
      <c r="L49" s="11" t="str">
        <f>HYPERLINK("http://slimages.macys.com/is/image/MCY/10010133 ")</f>
        <v xml:space="preserve">http://slimages.macys.com/is/image/MCY/10010133 </v>
      </c>
    </row>
    <row r="50" spans="1:12" ht="39.950000000000003" customHeight="1" x14ac:dyDescent="0.25">
      <c r="A50" s="6" t="s">
        <v>525</v>
      </c>
      <c r="B50" s="7" t="s">
        <v>526</v>
      </c>
      <c r="C50" s="8">
        <v>1</v>
      </c>
      <c r="D50" s="9">
        <v>19.989999999999998</v>
      </c>
      <c r="E50" s="8" t="s">
        <v>527</v>
      </c>
      <c r="F50" s="7" t="s">
        <v>3363</v>
      </c>
      <c r="G50" s="10"/>
      <c r="H50" s="7" t="s">
        <v>3471</v>
      </c>
      <c r="I50" s="7" t="s">
        <v>3378</v>
      </c>
      <c r="J50" s="7" t="s">
        <v>3358</v>
      </c>
      <c r="K50" s="7"/>
      <c r="L50" s="11" t="str">
        <f>HYPERLINK("http://slimages.macys.com/is/image/MCY/15709914 ")</f>
        <v xml:space="preserve">http://slimages.macys.com/is/image/MCY/15709914 </v>
      </c>
    </row>
    <row r="51" spans="1:12" ht="39.950000000000003" customHeight="1" x14ac:dyDescent="0.25">
      <c r="A51" s="6" t="s">
        <v>326</v>
      </c>
      <c r="B51" s="7" t="s">
        <v>327</v>
      </c>
      <c r="C51" s="8">
        <v>1</v>
      </c>
      <c r="D51" s="9">
        <v>14.99</v>
      </c>
      <c r="E51" s="8">
        <v>52442</v>
      </c>
      <c r="F51" s="7" t="s">
        <v>3363</v>
      </c>
      <c r="G51" s="10"/>
      <c r="H51" s="7" t="s">
        <v>3492</v>
      </c>
      <c r="I51" s="7" t="s">
        <v>3636</v>
      </c>
      <c r="J51" s="7" t="s">
        <v>3358</v>
      </c>
      <c r="K51" s="7"/>
      <c r="L51" s="11" t="str">
        <f>HYPERLINK("http://slimages.macys.com/is/image/MCY/9644198 ")</f>
        <v xml:space="preserve">http://slimages.macys.com/is/image/MCY/9644198 </v>
      </c>
    </row>
    <row r="52" spans="1:12" ht="39.950000000000003" customHeight="1" x14ac:dyDescent="0.25">
      <c r="A52" s="6" t="s">
        <v>328</v>
      </c>
      <c r="B52" s="7" t="s">
        <v>329</v>
      </c>
      <c r="C52" s="8">
        <v>1</v>
      </c>
      <c r="D52" s="9">
        <v>16.989999999999998</v>
      </c>
      <c r="E52" s="8" t="s">
        <v>330</v>
      </c>
      <c r="F52" s="7" t="s">
        <v>3396</v>
      </c>
      <c r="G52" s="10" t="s">
        <v>3532</v>
      </c>
      <c r="H52" s="7" t="s">
        <v>3482</v>
      </c>
      <c r="I52" s="7" t="s">
        <v>3618</v>
      </c>
      <c r="J52" s="7" t="s">
        <v>3358</v>
      </c>
      <c r="K52" s="7" t="s">
        <v>3484</v>
      </c>
      <c r="L52" s="11" t="str">
        <f>HYPERLINK("http://slimages.macys.com/is/image/MCY/12737864 ")</f>
        <v xml:space="preserve">http://slimages.macys.com/is/image/MCY/12737864 </v>
      </c>
    </row>
    <row r="53" spans="1:12" ht="39.950000000000003" customHeight="1" x14ac:dyDescent="0.25">
      <c r="A53" s="6" t="s">
        <v>331</v>
      </c>
      <c r="B53" s="7" t="s">
        <v>332</v>
      </c>
      <c r="C53" s="8">
        <v>1</v>
      </c>
      <c r="D53" s="9">
        <v>13.99</v>
      </c>
      <c r="E53" s="8">
        <v>19989152</v>
      </c>
      <c r="F53" s="7" t="s">
        <v>3840</v>
      </c>
      <c r="G53" s="10" t="s">
        <v>3504</v>
      </c>
      <c r="H53" s="7" t="s">
        <v>3372</v>
      </c>
      <c r="I53" s="7" t="s">
        <v>3280</v>
      </c>
      <c r="J53" s="7" t="s">
        <v>3358</v>
      </c>
      <c r="K53" s="7" t="s">
        <v>333</v>
      </c>
      <c r="L53" s="11" t="str">
        <f>HYPERLINK("http://slimages.macys.com/is/image/MCY/12940317 ")</f>
        <v xml:space="preserve">http://slimages.macys.com/is/image/MCY/12940317 </v>
      </c>
    </row>
    <row r="54" spans="1:12" ht="39.950000000000003" customHeight="1" x14ac:dyDescent="0.25">
      <c r="A54" s="6" t="s">
        <v>910</v>
      </c>
      <c r="B54" s="7" t="s">
        <v>911</v>
      </c>
      <c r="C54" s="8">
        <v>2</v>
      </c>
      <c r="D54" s="9">
        <v>25.98</v>
      </c>
      <c r="E54" s="8">
        <v>63972</v>
      </c>
      <c r="F54" s="7" t="s">
        <v>3363</v>
      </c>
      <c r="G54" s="10"/>
      <c r="H54" s="7" t="s">
        <v>3388</v>
      </c>
      <c r="I54" s="7" t="s">
        <v>3389</v>
      </c>
      <c r="J54" s="7" t="s">
        <v>3379</v>
      </c>
      <c r="K54" s="7" t="s">
        <v>912</v>
      </c>
      <c r="L54" s="11" t="str">
        <f>HYPERLINK("http://slimages.macys.com/is/image/MCY/12926389 ")</f>
        <v xml:space="preserve">http://slimages.macys.com/is/image/MCY/12926389 </v>
      </c>
    </row>
    <row r="55" spans="1:12" ht="39.950000000000003" customHeight="1" x14ac:dyDescent="0.25">
      <c r="A55" s="6" t="s">
        <v>1081</v>
      </c>
      <c r="B55" s="7" t="s">
        <v>1082</v>
      </c>
      <c r="C55" s="8">
        <v>3</v>
      </c>
      <c r="D55" s="9">
        <v>59.97</v>
      </c>
      <c r="E55" s="8" t="s">
        <v>1083</v>
      </c>
      <c r="F55" s="7" t="s">
        <v>3363</v>
      </c>
      <c r="G55" s="10"/>
      <c r="H55" s="7" t="s">
        <v>4165</v>
      </c>
      <c r="I55" s="7" t="s">
        <v>1084</v>
      </c>
      <c r="J55" s="7" t="s">
        <v>3358</v>
      </c>
      <c r="K55" s="7" t="s">
        <v>1085</v>
      </c>
      <c r="L55" s="11" t="str">
        <f>HYPERLINK("http://slimages.macys.com/is/image/MCY/8151499 ")</f>
        <v xml:space="preserve">http://slimages.macys.com/is/image/MCY/8151499 </v>
      </c>
    </row>
    <row r="56" spans="1:12" ht="39.950000000000003" customHeight="1" x14ac:dyDescent="0.25">
      <c r="A56" s="6" t="s">
        <v>334</v>
      </c>
      <c r="B56" s="7" t="s">
        <v>335</v>
      </c>
      <c r="C56" s="8">
        <v>2</v>
      </c>
      <c r="D56" s="9">
        <v>23.98</v>
      </c>
      <c r="E56" s="8">
        <v>25609</v>
      </c>
      <c r="F56" s="7" t="s">
        <v>3363</v>
      </c>
      <c r="G56" s="10" t="s">
        <v>1443</v>
      </c>
      <c r="H56" s="7" t="s">
        <v>3492</v>
      </c>
      <c r="I56" s="7" t="s">
        <v>3636</v>
      </c>
      <c r="J56" s="7" t="s">
        <v>3358</v>
      </c>
      <c r="K56" s="7"/>
      <c r="L56" s="11" t="str">
        <f>HYPERLINK("http://slimages.macys.com/is/image/MCY/9215953 ")</f>
        <v xml:space="preserve">http://slimages.macys.com/is/image/MCY/9215953 </v>
      </c>
    </row>
    <row r="57" spans="1:12" ht="39.950000000000003" customHeight="1" x14ac:dyDescent="0.25">
      <c r="A57" s="6" t="s">
        <v>336</v>
      </c>
      <c r="B57" s="7" t="s">
        <v>337</v>
      </c>
      <c r="C57" s="8">
        <v>1</v>
      </c>
      <c r="D57" s="9">
        <v>9.99</v>
      </c>
      <c r="E57" s="8" t="s">
        <v>338</v>
      </c>
      <c r="F57" s="7" t="s">
        <v>3673</v>
      </c>
      <c r="G57" s="10"/>
      <c r="H57" s="7" t="s">
        <v>3492</v>
      </c>
      <c r="I57" s="7" t="s">
        <v>3536</v>
      </c>
      <c r="J57" s="7"/>
      <c r="K57" s="7"/>
      <c r="L57" s="11" t="str">
        <f>HYPERLINK("http://slimages.macys.com/is/image/MCY/17995889 ")</f>
        <v xml:space="preserve">http://slimages.macys.com/is/image/MCY/17995889 </v>
      </c>
    </row>
    <row r="58" spans="1:12" ht="39.950000000000003" customHeight="1" x14ac:dyDescent="0.25">
      <c r="A58" s="6" t="s">
        <v>339</v>
      </c>
      <c r="B58" s="7" t="s">
        <v>340</v>
      </c>
      <c r="C58" s="8">
        <v>1</v>
      </c>
      <c r="D58" s="9">
        <v>59.99</v>
      </c>
      <c r="E58" s="8" t="s">
        <v>341</v>
      </c>
      <c r="F58" s="7" t="s">
        <v>3363</v>
      </c>
      <c r="G58" s="10"/>
      <c r="H58" s="7" t="s">
        <v>3526</v>
      </c>
      <c r="I58" s="7" t="s">
        <v>3865</v>
      </c>
      <c r="J58" s="7"/>
      <c r="K58" s="7"/>
      <c r="L58" s="11"/>
    </row>
    <row r="59" spans="1:12" ht="39.950000000000003" customHeight="1" x14ac:dyDescent="0.25">
      <c r="A59" s="6" t="s">
        <v>3540</v>
      </c>
      <c r="B59" s="7" t="s">
        <v>3541</v>
      </c>
      <c r="C59" s="8">
        <v>8</v>
      </c>
      <c r="D59" s="9">
        <v>320</v>
      </c>
      <c r="E59" s="8"/>
      <c r="F59" s="7" t="s">
        <v>3542</v>
      </c>
      <c r="G59" s="10" t="s">
        <v>3504</v>
      </c>
      <c r="H59" s="7" t="s">
        <v>3543</v>
      </c>
      <c r="I59" s="7" t="s">
        <v>3544</v>
      </c>
      <c r="J59" s="7"/>
      <c r="K59" s="7"/>
      <c r="L59" s="11"/>
    </row>
    <row r="60" spans="1:12" ht="39.950000000000003" customHeight="1" x14ac:dyDescent="0.25">
      <c r="A60" s="6" t="s">
        <v>342</v>
      </c>
      <c r="B60" s="7" t="s">
        <v>343</v>
      </c>
      <c r="C60" s="8">
        <v>1</v>
      </c>
      <c r="D60" s="9">
        <v>40</v>
      </c>
      <c r="E60" s="8" t="s">
        <v>344</v>
      </c>
      <c r="F60" s="7" t="s">
        <v>3542</v>
      </c>
      <c r="G60" s="10" t="s">
        <v>3504</v>
      </c>
      <c r="H60" s="7" t="s">
        <v>3526</v>
      </c>
      <c r="I60" s="7" t="s">
        <v>4010</v>
      </c>
      <c r="J60" s="7"/>
      <c r="K60" s="7"/>
      <c r="L60" s="11"/>
    </row>
  </sheetData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9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3545</v>
      </c>
      <c r="B2" s="7" t="s">
        <v>3546</v>
      </c>
      <c r="C2" s="8">
        <v>1</v>
      </c>
      <c r="D2" s="9">
        <v>299.99</v>
      </c>
      <c r="E2" s="8" t="s">
        <v>3547</v>
      </c>
      <c r="F2" s="7" t="s">
        <v>3363</v>
      </c>
      <c r="G2" s="10"/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HYPERLINK("http://slimages.macys.com/is/image/MCY/3969345 ")</f>
        <v xml:space="preserve">http://slimages.macys.com/is/image/MCY/3969345 </v>
      </c>
    </row>
    <row r="3" spans="1:12" ht="39.950000000000003" customHeight="1" x14ac:dyDescent="0.25">
      <c r="A3" s="6" t="s">
        <v>3550</v>
      </c>
      <c r="B3" s="7" t="s">
        <v>3551</v>
      </c>
      <c r="C3" s="8">
        <v>1</v>
      </c>
      <c r="D3" s="9">
        <v>249.99</v>
      </c>
      <c r="E3" s="8" t="s">
        <v>3552</v>
      </c>
      <c r="F3" s="7" t="s">
        <v>3553</v>
      </c>
      <c r="G3" s="10"/>
      <c r="H3" s="7" t="s">
        <v>3365</v>
      </c>
      <c r="I3" s="7" t="s">
        <v>3554</v>
      </c>
      <c r="J3" s="7" t="s">
        <v>3358</v>
      </c>
      <c r="K3" s="7"/>
      <c r="L3" s="11" t="str">
        <f>HYPERLINK("http://slimages.macys.com/is/image/MCY/12898898 ")</f>
        <v xml:space="preserve">http://slimages.macys.com/is/image/MCY/12898898 </v>
      </c>
    </row>
    <row r="4" spans="1:12" ht="39.950000000000003" customHeight="1" x14ac:dyDescent="0.25">
      <c r="A4" s="6" t="s">
        <v>3555</v>
      </c>
      <c r="B4" s="7" t="s">
        <v>3556</v>
      </c>
      <c r="C4" s="8">
        <v>1</v>
      </c>
      <c r="D4" s="9">
        <v>249.99</v>
      </c>
      <c r="E4" s="8" t="s">
        <v>3557</v>
      </c>
      <c r="F4" s="7" t="s">
        <v>3363</v>
      </c>
      <c r="G4" s="10"/>
      <c r="H4" s="7" t="s">
        <v>3365</v>
      </c>
      <c r="I4" s="7" t="s">
        <v>3558</v>
      </c>
      <c r="J4" s="7" t="s">
        <v>3358</v>
      </c>
      <c r="K4" s="7"/>
      <c r="L4" s="11" t="str">
        <f>HYPERLINK("http://slimages.macys.com/is/image/MCY/13043069 ")</f>
        <v xml:space="preserve">http://slimages.macys.com/is/image/MCY/13043069 </v>
      </c>
    </row>
    <row r="5" spans="1:12" ht="39.950000000000003" customHeight="1" x14ac:dyDescent="0.25">
      <c r="A5" s="6" t="s">
        <v>3559</v>
      </c>
      <c r="B5" s="7" t="s">
        <v>3560</v>
      </c>
      <c r="C5" s="8">
        <v>1</v>
      </c>
      <c r="D5" s="9">
        <v>259.99</v>
      </c>
      <c r="E5" s="8" t="s">
        <v>3561</v>
      </c>
      <c r="F5" s="7" t="s">
        <v>3363</v>
      </c>
      <c r="G5" s="10"/>
      <c r="H5" s="7" t="s">
        <v>3365</v>
      </c>
      <c r="I5" s="7" t="s">
        <v>3366</v>
      </c>
      <c r="J5" s="7" t="s">
        <v>3358</v>
      </c>
      <c r="K5" s="7" t="s">
        <v>3367</v>
      </c>
      <c r="L5" s="11" t="str">
        <f>HYPERLINK("http://slimages.macys.com/is/image/MCY/11953123 ")</f>
        <v xml:space="preserve">http://slimages.macys.com/is/image/MCY/11953123 </v>
      </c>
    </row>
    <row r="6" spans="1:12" ht="39.950000000000003" customHeight="1" x14ac:dyDescent="0.25">
      <c r="A6" s="6" t="s">
        <v>3562</v>
      </c>
      <c r="B6" s="7" t="s">
        <v>3563</v>
      </c>
      <c r="C6" s="8">
        <v>1</v>
      </c>
      <c r="D6" s="9">
        <v>149.99</v>
      </c>
      <c r="E6" s="8">
        <v>18386011</v>
      </c>
      <c r="F6" s="7" t="s">
        <v>3363</v>
      </c>
      <c r="G6" s="10" t="s">
        <v>3564</v>
      </c>
      <c r="H6" s="7" t="s">
        <v>3397</v>
      </c>
      <c r="I6" s="7" t="s">
        <v>3565</v>
      </c>
      <c r="J6" s="7" t="s">
        <v>3358</v>
      </c>
      <c r="K6" s="7" t="s">
        <v>3484</v>
      </c>
      <c r="L6" s="11" t="str">
        <f>HYPERLINK("http://slimages.macys.com/is/image/MCY/10124957 ")</f>
        <v xml:space="preserve">http://slimages.macys.com/is/image/MCY/10124957 </v>
      </c>
    </row>
    <row r="7" spans="1:12" ht="39.950000000000003" customHeight="1" x14ac:dyDescent="0.25">
      <c r="A7" s="6" t="s">
        <v>3374</v>
      </c>
      <c r="B7" s="7" t="s">
        <v>3375</v>
      </c>
      <c r="C7" s="8">
        <v>2</v>
      </c>
      <c r="D7" s="9">
        <v>399.98</v>
      </c>
      <c r="E7" s="8" t="s">
        <v>3376</v>
      </c>
      <c r="F7" s="7" t="s">
        <v>3363</v>
      </c>
      <c r="G7" s="10"/>
      <c r="H7" s="7" t="s">
        <v>3377</v>
      </c>
      <c r="I7" s="7" t="s">
        <v>3378</v>
      </c>
      <c r="J7" s="7" t="s">
        <v>3379</v>
      </c>
      <c r="K7" s="7" t="s">
        <v>3380</v>
      </c>
      <c r="L7" s="11" t="str">
        <f>HYPERLINK("http://slimages.macys.com/is/image/MCY/3962568 ")</f>
        <v xml:space="preserve">http://slimages.macys.com/is/image/MCY/3962568 </v>
      </c>
    </row>
    <row r="8" spans="1:12" ht="39.950000000000003" customHeight="1" x14ac:dyDescent="0.25">
      <c r="A8" s="6" t="s">
        <v>3566</v>
      </c>
      <c r="B8" s="7" t="s">
        <v>3567</v>
      </c>
      <c r="C8" s="8">
        <v>1</v>
      </c>
      <c r="D8" s="9">
        <v>199.99</v>
      </c>
      <c r="E8" s="8" t="s">
        <v>3568</v>
      </c>
      <c r="F8" s="7" t="s">
        <v>3363</v>
      </c>
      <c r="G8" s="10"/>
      <c r="H8" s="7" t="s">
        <v>3365</v>
      </c>
      <c r="I8" s="7" t="s">
        <v>3554</v>
      </c>
      <c r="J8" s="7" t="s">
        <v>3358</v>
      </c>
      <c r="K8" s="7" t="s">
        <v>3569</v>
      </c>
      <c r="L8" s="11" t="str">
        <f>HYPERLINK("http://slimages.macys.com/is/image/MCY/11640038 ")</f>
        <v xml:space="preserve">http://slimages.macys.com/is/image/MCY/11640038 </v>
      </c>
    </row>
    <row r="9" spans="1:12" ht="39.950000000000003" customHeight="1" x14ac:dyDescent="0.25">
      <c r="A9" s="6" t="s">
        <v>3570</v>
      </c>
      <c r="B9" s="7" t="s">
        <v>3571</v>
      </c>
      <c r="C9" s="8">
        <v>0</v>
      </c>
      <c r="D9" s="9">
        <v>0</v>
      </c>
      <c r="E9" s="8" t="s">
        <v>3572</v>
      </c>
      <c r="F9" s="7" t="s">
        <v>3355</v>
      </c>
      <c r="G9" s="10"/>
      <c r="H9" s="7" t="s">
        <v>3365</v>
      </c>
      <c r="I9" s="7" t="s">
        <v>3554</v>
      </c>
      <c r="J9" s="7" t="s">
        <v>3358</v>
      </c>
      <c r="K9" s="7" t="s">
        <v>3573</v>
      </c>
      <c r="L9" s="11" t="str">
        <f>HYPERLINK("http://slimages.macys.com/is/image/MCY/15767044 ")</f>
        <v xml:space="preserve">http://slimages.macys.com/is/image/MCY/15767044 </v>
      </c>
    </row>
    <row r="10" spans="1:12" ht="39.950000000000003" customHeight="1" x14ac:dyDescent="0.25">
      <c r="A10" s="6" t="s">
        <v>3574</v>
      </c>
      <c r="B10" s="7" t="s">
        <v>3575</v>
      </c>
      <c r="C10" s="8">
        <v>1</v>
      </c>
      <c r="D10" s="9">
        <v>179.99</v>
      </c>
      <c r="E10" s="8" t="s">
        <v>3576</v>
      </c>
      <c r="F10" s="7" t="s">
        <v>3531</v>
      </c>
      <c r="G10" s="10"/>
      <c r="H10" s="7" t="s">
        <v>3408</v>
      </c>
      <c r="I10" s="7" t="s">
        <v>3409</v>
      </c>
      <c r="J10" s="7"/>
      <c r="K10" s="7"/>
      <c r="L10" s="11" t="str">
        <f>HYPERLINK("http://slimages.macys.com/is/image/MCY/18221342 ")</f>
        <v xml:space="preserve">http://slimages.macys.com/is/image/MCY/18221342 </v>
      </c>
    </row>
    <row r="11" spans="1:12" ht="39.950000000000003" customHeight="1" x14ac:dyDescent="0.25">
      <c r="A11" s="6" t="s">
        <v>3577</v>
      </c>
      <c r="B11" s="7" t="s">
        <v>3578</v>
      </c>
      <c r="C11" s="8">
        <v>1</v>
      </c>
      <c r="D11" s="9">
        <v>129.99</v>
      </c>
      <c r="E11" s="8" t="s">
        <v>3579</v>
      </c>
      <c r="F11" s="7" t="s">
        <v>3580</v>
      </c>
      <c r="G11" s="10"/>
      <c r="H11" s="7" t="s">
        <v>3397</v>
      </c>
      <c r="I11" s="7" t="s">
        <v>3581</v>
      </c>
      <c r="J11" s="7" t="s">
        <v>3358</v>
      </c>
      <c r="K11" s="7" t="s">
        <v>3582</v>
      </c>
      <c r="L11" s="11" t="str">
        <f>HYPERLINK("http://slimages.macys.com/is/image/MCY/15909811 ")</f>
        <v xml:space="preserve">http://slimages.macys.com/is/image/MCY/15909811 </v>
      </c>
    </row>
    <row r="12" spans="1:12" ht="39.950000000000003" customHeight="1" x14ac:dyDescent="0.25">
      <c r="A12" s="6" t="s">
        <v>3583</v>
      </c>
      <c r="B12" s="7" t="s">
        <v>3584</v>
      </c>
      <c r="C12" s="8">
        <v>1</v>
      </c>
      <c r="D12" s="9">
        <v>109.99</v>
      </c>
      <c r="E12" s="8">
        <v>224205</v>
      </c>
      <c r="F12" s="7" t="s">
        <v>3363</v>
      </c>
      <c r="G12" s="10"/>
      <c r="H12" s="7" t="s">
        <v>3397</v>
      </c>
      <c r="I12" s="7" t="s">
        <v>3585</v>
      </c>
      <c r="J12" s="7" t="s">
        <v>3358</v>
      </c>
      <c r="K12" s="7" t="s">
        <v>3586</v>
      </c>
      <c r="L12" s="11" t="str">
        <f>HYPERLINK("http://slimages.macys.com/is/image/MCY/15729751 ")</f>
        <v xml:space="preserve">http://slimages.macys.com/is/image/MCY/15729751 </v>
      </c>
    </row>
    <row r="13" spans="1:12" ht="39.950000000000003" customHeight="1" x14ac:dyDescent="0.25">
      <c r="A13" s="6" t="s">
        <v>3587</v>
      </c>
      <c r="B13" s="7" t="s">
        <v>3588</v>
      </c>
      <c r="C13" s="8">
        <v>1</v>
      </c>
      <c r="D13" s="9">
        <v>179.99</v>
      </c>
      <c r="E13" s="8" t="s">
        <v>3589</v>
      </c>
      <c r="F13" s="7" t="s">
        <v>3490</v>
      </c>
      <c r="G13" s="10"/>
      <c r="H13" s="7" t="s">
        <v>3397</v>
      </c>
      <c r="I13" s="7" t="s">
        <v>3590</v>
      </c>
      <c r="J13" s="7" t="s">
        <v>3358</v>
      </c>
      <c r="K13" s="7" t="s">
        <v>3591</v>
      </c>
      <c r="L13" s="11" t="str">
        <f>HYPERLINK("http://slimages.macys.com/is/image/MCY/9965258 ")</f>
        <v xml:space="preserve">http://slimages.macys.com/is/image/MCY/9965258 </v>
      </c>
    </row>
    <row r="14" spans="1:12" ht="39.950000000000003" customHeight="1" x14ac:dyDescent="0.25">
      <c r="A14" s="6" t="s">
        <v>3592</v>
      </c>
      <c r="B14" s="7" t="s">
        <v>3593</v>
      </c>
      <c r="C14" s="8">
        <v>2</v>
      </c>
      <c r="D14" s="9">
        <v>351.98</v>
      </c>
      <c r="E14" s="8">
        <v>79345</v>
      </c>
      <c r="F14" s="7" t="s">
        <v>3594</v>
      </c>
      <c r="G14" s="10"/>
      <c r="H14" s="7" t="s">
        <v>3412</v>
      </c>
      <c r="I14" s="7" t="s">
        <v>3595</v>
      </c>
      <c r="J14" s="7" t="s">
        <v>3358</v>
      </c>
      <c r="K14" s="7" t="s">
        <v>3596</v>
      </c>
      <c r="L14" s="11" t="str">
        <f>HYPERLINK("http://slimages.macys.com/is/image/MCY/11942490 ")</f>
        <v xml:space="preserve">http://slimages.macys.com/is/image/MCY/11942490 </v>
      </c>
    </row>
    <row r="15" spans="1:12" ht="39.950000000000003" customHeight="1" x14ac:dyDescent="0.25">
      <c r="A15" s="6" t="s">
        <v>3597</v>
      </c>
      <c r="B15" s="7" t="s">
        <v>3598</v>
      </c>
      <c r="C15" s="8">
        <v>1</v>
      </c>
      <c r="D15" s="9">
        <v>149.99</v>
      </c>
      <c r="E15" s="8" t="s">
        <v>3599</v>
      </c>
      <c r="F15" s="7" t="s">
        <v>3600</v>
      </c>
      <c r="G15" s="10"/>
      <c r="H15" s="7" t="s">
        <v>3601</v>
      </c>
      <c r="I15" s="7" t="s">
        <v>3602</v>
      </c>
      <c r="J15" s="7" t="s">
        <v>3358</v>
      </c>
      <c r="K15" s="7" t="s">
        <v>3603</v>
      </c>
      <c r="L15" s="11" t="str">
        <f>HYPERLINK("http://slimages.macys.com/is/image/MCY/15389610 ")</f>
        <v xml:space="preserve">http://slimages.macys.com/is/image/MCY/15389610 </v>
      </c>
    </row>
    <row r="16" spans="1:12" ht="39.950000000000003" customHeight="1" x14ac:dyDescent="0.25">
      <c r="A16" s="6" t="s">
        <v>3604</v>
      </c>
      <c r="B16" s="7" t="s">
        <v>3605</v>
      </c>
      <c r="C16" s="8">
        <v>1</v>
      </c>
      <c r="D16" s="9">
        <v>99.99</v>
      </c>
      <c r="E16" s="8">
        <v>15313115</v>
      </c>
      <c r="F16" s="7" t="s">
        <v>3525</v>
      </c>
      <c r="G16" s="10" t="s">
        <v>3606</v>
      </c>
      <c r="H16" s="7" t="s">
        <v>3388</v>
      </c>
      <c r="I16" s="7" t="s">
        <v>3607</v>
      </c>
      <c r="J16" s="7" t="s">
        <v>3608</v>
      </c>
      <c r="K16" s="7" t="s">
        <v>3609</v>
      </c>
      <c r="L16" s="11" t="str">
        <f>HYPERLINK("http://slimages.macys.com/is/image/MCY/9275116 ")</f>
        <v xml:space="preserve">http://slimages.macys.com/is/image/MCY/9275116 </v>
      </c>
    </row>
    <row r="17" spans="1:12" ht="39.950000000000003" customHeight="1" x14ac:dyDescent="0.25">
      <c r="A17" s="6" t="s">
        <v>3610</v>
      </c>
      <c r="B17" s="7" t="s">
        <v>3611</v>
      </c>
      <c r="C17" s="8">
        <v>1</v>
      </c>
      <c r="D17" s="9">
        <v>81.99</v>
      </c>
      <c r="E17" s="8" t="s">
        <v>3612</v>
      </c>
      <c r="F17" s="7" t="s">
        <v>3363</v>
      </c>
      <c r="G17" s="10"/>
      <c r="H17" s="7" t="s">
        <v>3372</v>
      </c>
      <c r="I17" s="7" t="s">
        <v>3613</v>
      </c>
      <c r="J17" s="7" t="s">
        <v>3358</v>
      </c>
      <c r="K17" s="7" t="s">
        <v>3614</v>
      </c>
      <c r="L17" s="11" t="str">
        <f>HYPERLINK("http://slimages.macys.com/is/image/MCY/15202022 ")</f>
        <v xml:space="preserve">http://slimages.macys.com/is/image/MCY/15202022 </v>
      </c>
    </row>
    <row r="18" spans="1:12" ht="39.950000000000003" customHeight="1" x14ac:dyDescent="0.25">
      <c r="A18" s="6" t="s">
        <v>3615</v>
      </c>
      <c r="B18" s="7" t="s">
        <v>3616</v>
      </c>
      <c r="C18" s="8">
        <v>1</v>
      </c>
      <c r="D18" s="9">
        <v>99.99</v>
      </c>
      <c r="E18" s="8">
        <v>1008894400</v>
      </c>
      <c r="F18" s="7" t="s">
        <v>3617</v>
      </c>
      <c r="G18" s="10"/>
      <c r="H18" s="7" t="s">
        <v>3482</v>
      </c>
      <c r="I18" s="7" t="s">
        <v>3618</v>
      </c>
      <c r="J18" s="7" t="s">
        <v>3358</v>
      </c>
      <c r="K18" s="7" t="s">
        <v>3619</v>
      </c>
      <c r="L18" s="11" t="str">
        <f>HYPERLINK("http://slimages.macys.com/is/image/MCY/3776637 ")</f>
        <v xml:space="preserve">http://slimages.macys.com/is/image/MCY/3776637 </v>
      </c>
    </row>
    <row r="19" spans="1:12" ht="39.950000000000003" customHeight="1" x14ac:dyDescent="0.25">
      <c r="A19" s="6" t="s">
        <v>3620</v>
      </c>
      <c r="B19" s="7" t="s">
        <v>3621</v>
      </c>
      <c r="C19" s="8">
        <v>1</v>
      </c>
      <c r="D19" s="9">
        <v>99.99</v>
      </c>
      <c r="E19" s="8" t="s">
        <v>3622</v>
      </c>
      <c r="F19" s="7" t="s">
        <v>3355</v>
      </c>
      <c r="G19" s="10"/>
      <c r="H19" s="7" t="s">
        <v>3418</v>
      </c>
      <c r="I19" s="7" t="s">
        <v>3623</v>
      </c>
      <c r="J19" s="7"/>
      <c r="K19" s="7"/>
      <c r="L19" s="11" t="str">
        <f>HYPERLINK("http://slimages.macys.com/is/image/MCY/17662849 ")</f>
        <v xml:space="preserve">http://slimages.macys.com/is/image/MCY/17662849 </v>
      </c>
    </row>
    <row r="20" spans="1:12" ht="39.950000000000003" customHeight="1" x14ac:dyDescent="0.25">
      <c r="A20" s="6" t="s">
        <v>3624</v>
      </c>
      <c r="B20" s="7" t="s">
        <v>3625</v>
      </c>
      <c r="C20" s="8">
        <v>1</v>
      </c>
      <c r="D20" s="9">
        <v>79.989999999999995</v>
      </c>
      <c r="E20" s="8">
        <v>1003085000</v>
      </c>
      <c r="F20" s="7" t="s">
        <v>3498</v>
      </c>
      <c r="G20" s="10"/>
      <c r="H20" s="7" t="s">
        <v>3482</v>
      </c>
      <c r="I20" s="7" t="s">
        <v>3618</v>
      </c>
      <c r="J20" s="7" t="s">
        <v>3358</v>
      </c>
      <c r="K20" s="7" t="s">
        <v>3484</v>
      </c>
      <c r="L20" s="11" t="str">
        <f>HYPERLINK("http://slimages.macys.com/is/image/MCY/9971657 ")</f>
        <v xml:space="preserve">http://slimages.macys.com/is/image/MCY/9971657 </v>
      </c>
    </row>
    <row r="21" spans="1:12" ht="39.950000000000003" customHeight="1" x14ac:dyDescent="0.25">
      <c r="A21" s="6" t="s">
        <v>3420</v>
      </c>
      <c r="B21" s="7" t="s">
        <v>3421</v>
      </c>
      <c r="C21" s="8">
        <v>1</v>
      </c>
      <c r="D21" s="9">
        <v>44.99</v>
      </c>
      <c r="E21" s="8">
        <v>4402</v>
      </c>
      <c r="F21" s="7" t="s">
        <v>3363</v>
      </c>
      <c r="G21" s="10"/>
      <c r="H21" s="7" t="s">
        <v>3422</v>
      </c>
      <c r="I21" s="7" t="s">
        <v>3423</v>
      </c>
      <c r="J21" s="7" t="s">
        <v>3358</v>
      </c>
      <c r="K21" s="7"/>
      <c r="L21" s="11" t="str">
        <f>HYPERLINK("http://slimages.macys.com/is/image/MCY/9873929 ")</f>
        <v xml:space="preserve">http://slimages.macys.com/is/image/MCY/9873929 </v>
      </c>
    </row>
    <row r="22" spans="1:12" ht="39.950000000000003" customHeight="1" x14ac:dyDescent="0.25">
      <c r="A22" s="6" t="s">
        <v>3626</v>
      </c>
      <c r="B22" s="7" t="s">
        <v>3627</v>
      </c>
      <c r="C22" s="8">
        <v>1</v>
      </c>
      <c r="D22" s="9">
        <v>83.99</v>
      </c>
      <c r="E22" s="8">
        <v>13971</v>
      </c>
      <c r="F22" s="7" t="s">
        <v>3371</v>
      </c>
      <c r="G22" s="10"/>
      <c r="H22" s="7" t="s">
        <v>3412</v>
      </c>
      <c r="I22" s="7" t="s">
        <v>3628</v>
      </c>
      <c r="J22" s="7" t="s">
        <v>3358</v>
      </c>
      <c r="K22" s="7" t="s">
        <v>3506</v>
      </c>
      <c r="L22" s="11" t="str">
        <f>HYPERLINK("http://slimages.macys.com/is/image/MCY/16296401 ")</f>
        <v xml:space="preserve">http://slimages.macys.com/is/image/MCY/16296401 </v>
      </c>
    </row>
    <row r="23" spans="1:12" ht="39.950000000000003" customHeight="1" x14ac:dyDescent="0.25">
      <c r="A23" s="6" t="s">
        <v>3629</v>
      </c>
      <c r="B23" s="7" t="s">
        <v>3630</v>
      </c>
      <c r="C23" s="8">
        <v>1</v>
      </c>
      <c r="D23" s="9">
        <v>69.989999999999995</v>
      </c>
      <c r="E23" s="8" t="s">
        <v>3631</v>
      </c>
      <c r="F23" s="7" t="s">
        <v>3632</v>
      </c>
      <c r="G23" s="10"/>
      <c r="H23" s="7" t="s">
        <v>3412</v>
      </c>
      <c r="I23" s="7" t="s">
        <v>3436</v>
      </c>
      <c r="J23" s="7" t="s">
        <v>3358</v>
      </c>
      <c r="K23" s="7" t="s">
        <v>3633</v>
      </c>
      <c r="L23" s="11" t="str">
        <f>HYPERLINK("http://slimages.macys.com/is/image/MCY/8938043 ")</f>
        <v xml:space="preserve">http://slimages.macys.com/is/image/MCY/8938043 </v>
      </c>
    </row>
    <row r="24" spans="1:12" ht="39.950000000000003" customHeight="1" x14ac:dyDescent="0.25">
      <c r="A24" s="6" t="s">
        <v>3634</v>
      </c>
      <c r="B24" s="7" t="s">
        <v>3635</v>
      </c>
      <c r="C24" s="8">
        <v>1</v>
      </c>
      <c r="D24" s="9">
        <v>55.99</v>
      </c>
      <c r="E24" s="8">
        <v>47473</v>
      </c>
      <c r="F24" s="7" t="s">
        <v>3396</v>
      </c>
      <c r="G24" s="10"/>
      <c r="H24" s="7" t="s">
        <v>3492</v>
      </c>
      <c r="I24" s="7" t="s">
        <v>3636</v>
      </c>
      <c r="J24" s="7" t="s">
        <v>3358</v>
      </c>
      <c r="K24" s="7" t="s">
        <v>3390</v>
      </c>
      <c r="L24" s="11" t="str">
        <f>HYPERLINK("http://slimages.macys.com/is/image/MCY/2947015 ")</f>
        <v xml:space="preserve">http://slimages.macys.com/is/image/MCY/2947015 </v>
      </c>
    </row>
    <row r="25" spans="1:12" ht="39.950000000000003" customHeight="1" x14ac:dyDescent="0.25">
      <c r="A25" s="6" t="s">
        <v>3637</v>
      </c>
      <c r="B25" s="7" t="s">
        <v>3638</v>
      </c>
      <c r="C25" s="8">
        <v>1</v>
      </c>
      <c r="D25" s="9">
        <v>109.99</v>
      </c>
      <c r="E25" s="8" t="s">
        <v>3639</v>
      </c>
      <c r="F25" s="7" t="s">
        <v>3363</v>
      </c>
      <c r="G25" s="10"/>
      <c r="H25" s="7" t="s">
        <v>3365</v>
      </c>
      <c r="I25" s="7" t="s">
        <v>3385</v>
      </c>
      <c r="J25" s="7" t="s">
        <v>3358</v>
      </c>
      <c r="K25" s="7"/>
      <c r="L25" s="11" t="str">
        <f>HYPERLINK("http://slimages.macys.com/is/image/MCY/8315204 ")</f>
        <v xml:space="preserve">http://slimages.macys.com/is/image/MCY/8315204 </v>
      </c>
    </row>
    <row r="26" spans="1:12" ht="39.950000000000003" customHeight="1" x14ac:dyDescent="0.25">
      <c r="A26" s="6" t="s">
        <v>3640</v>
      </c>
      <c r="B26" s="7" t="s">
        <v>3641</v>
      </c>
      <c r="C26" s="8">
        <v>1</v>
      </c>
      <c r="D26" s="9">
        <v>59.99</v>
      </c>
      <c r="E26" s="8">
        <v>2000000067</v>
      </c>
      <c r="F26" s="7" t="s">
        <v>3384</v>
      </c>
      <c r="G26" s="10"/>
      <c r="H26" s="7" t="s">
        <v>3412</v>
      </c>
      <c r="I26" s="7" t="s">
        <v>3413</v>
      </c>
      <c r="J26" s="7"/>
      <c r="K26" s="7"/>
      <c r="L26" s="11" t="str">
        <f>HYPERLINK("http://slimages.macys.com/is/image/MCY/17934305 ")</f>
        <v xml:space="preserve">http://slimages.macys.com/is/image/MCY/17934305 </v>
      </c>
    </row>
    <row r="27" spans="1:12" ht="39.950000000000003" customHeight="1" x14ac:dyDescent="0.25">
      <c r="A27" s="6" t="s">
        <v>3642</v>
      </c>
      <c r="B27" s="7" t="s">
        <v>3643</v>
      </c>
      <c r="C27" s="8">
        <v>0</v>
      </c>
      <c r="D27" s="9">
        <v>0</v>
      </c>
      <c r="E27" s="8" t="s">
        <v>3644</v>
      </c>
      <c r="F27" s="7" t="s">
        <v>3363</v>
      </c>
      <c r="G27" s="10" t="s">
        <v>3645</v>
      </c>
      <c r="H27" s="7" t="s">
        <v>3388</v>
      </c>
      <c r="I27" s="7" t="s">
        <v>3646</v>
      </c>
      <c r="J27" s="7" t="s">
        <v>3358</v>
      </c>
      <c r="K27" s="7" t="s">
        <v>3582</v>
      </c>
      <c r="L27" s="11" t="str">
        <f>HYPERLINK("http://slimages.macys.com/is/image/MCY/15921588 ")</f>
        <v xml:space="preserve">http://slimages.macys.com/is/image/MCY/15921588 </v>
      </c>
    </row>
    <row r="28" spans="1:12" ht="39.950000000000003" customHeight="1" x14ac:dyDescent="0.25">
      <c r="A28" s="6" t="s">
        <v>3647</v>
      </c>
      <c r="B28" s="7" t="s">
        <v>3648</v>
      </c>
      <c r="C28" s="8">
        <v>1</v>
      </c>
      <c r="D28" s="9">
        <v>69.989999999999995</v>
      </c>
      <c r="E28" s="8" t="s">
        <v>3649</v>
      </c>
      <c r="F28" s="7" t="s">
        <v>3650</v>
      </c>
      <c r="G28" s="10"/>
      <c r="H28" s="7" t="s">
        <v>3356</v>
      </c>
      <c r="I28" s="7" t="s">
        <v>3651</v>
      </c>
      <c r="J28" s="7" t="s">
        <v>3358</v>
      </c>
      <c r="K28" s="7"/>
      <c r="L28" s="11" t="str">
        <f>HYPERLINK("http://slimages.macys.com/is/image/MCY/10249494 ")</f>
        <v xml:space="preserve">http://slimages.macys.com/is/image/MCY/10249494 </v>
      </c>
    </row>
    <row r="29" spans="1:12" ht="39.950000000000003" customHeight="1" x14ac:dyDescent="0.25">
      <c r="A29" s="6" t="s">
        <v>3652</v>
      </c>
      <c r="B29" s="7" t="s">
        <v>3653</v>
      </c>
      <c r="C29" s="8">
        <v>0</v>
      </c>
      <c r="D29" s="9">
        <v>0</v>
      </c>
      <c r="E29" s="8" t="s">
        <v>3654</v>
      </c>
      <c r="F29" s="7" t="s">
        <v>3355</v>
      </c>
      <c r="G29" s="10"/>
      <c r="H29" s="7" t="s">
        <v>3365</v>
      </c>
      <c r="I29" s="7" t="s">
        <v>3554</v>
      </c>
      <c r="J29" s="7" t="s">
        <v>3358</v>
      </c>
      <c r="K29" s="7" t="s">
        <v>3484</v>
      </c>
      <c r="L29" s="11" t="str">
        <f>HYPERLINK("http://slimages.macys.com/is/image/MCY/16383104 ")</f>
        <v xml:space="preserve">http://slimages.macys.com/is/image/MCY/16383104 </v>
      </c>
    </row>
    <row r="30" spans="1:12" ht="39.950000000000003" customHeight="1" x14ac:dyDescent="0.25">
      <c r="A30" s="6" t="s">
        <v>3655</v>
      </c>
      <c r="B30" s="7" t="s">
        <v>3656</v>
      </c>
      <c r="C30" s="8">
        <v>1</v>
      </c>
      <c r="D30" s="9">
        <v>79.989999999999995</v>
      </c>
      <c r="E30" s="8" t="s">
        <v>3657</v>
      </c>
      <c r="F30" s="7" t="s">
        <v>3525</v>
      </c>
      <c r="G30" s="10"/>
      <c r="H30" s="7" t="s">
        <v>3658</v>
      </c>
      <c r="I30" s="7" t="s">
        <v>3659</v>
      </c>
      <c r="J30" s="7" t="s">
        <v>3358</v>
      </c>
      <c r="K30" s="7"/>
      <c r="L30" s="11" t="str">
        <f>HYPERLINK("http://slimages.macys.com/is/image/MCY/16384053 ")</f>
        <v xml:space="preserve">http://slimages.macys.com/is/image/MCY/16384053 </v>
      </c>
    </row>
    <row r="31" spans="1:12" ht="39.950000000000003" customHeight="1" x14ac:dyDescent="0.25">
      <c r="A31" s="6" t="s">
        <v>3660</v>
      </c>
      <c r="B31" s="7" t="s">
        <v>3661</v>
      </c>
      <c r="C31" s="8">
        <v>1</v>
      </c>
      <c r="D31" s="9">
        <v>53.99</v>
      </c>
      <c r="E31" s="8" t="s">
        <v>3662</v>
      </c>
      <c r="F31" s="7" t="s">
        <v>3363</v>
      </c>
      <c r="G31" s="10" t="s">
        <v>3663</v>
      </c>
      <c r="H31" s="7" t="s">
        <v>3388</v>
      </c>
      <c r="I31" s="7" t="s">
        <v>3664</v>
      </c>
      <c r="J31" s="7" t="s">
        <v>3358</v>
      </c>
      <c r="K31" s="7" t="s">
        <v>3506</v>
      </c>
      <c r="L31" s="11" t="str">
        <f>HYPERLINK("http://slimages.macys.com/is/image/MCY/11798755 ")</f>
        <v xml:space="preserve">http://slimages.macys.com/is/image/MCY/11798755 </v>
      </c>
    </row>
    <row r="32" spans="1:12" ht="39.950000000000003" customHeight="1" x14ac:dyDescent="0.25">
      <c r="A32" s="6" t="s">
        <v>3665</v>
      </c>
      <c r="B32" s="7" t="s">
        <v>3666</v>
      </c>
      <c r="C32" s="8">
        <v>1</v>
      </c>
      <c r="D32" s="9">
        <v>44.99</v>
      </c>
      <c r="E32" s="8" t="s">
        <v>3667</v>
      </c>
      <c r="F32" s="7" t="s">
        <v>3668</v>
      </c>
      <c r="G32" s="10"/>
      <c r="H32" s="7" t="s">
        <v>3515</v>
      </c>
      <c r="I32" s="7" t="s">
        <v>3669</v>
      </c>
      <c r="J32" s="7" t="s">
        <v>3358</v>
      </c>
      <c r="K32" s="7" t="s">
        <v>3390</v>
      </c>
      <c r="L32" s="11" t="str">
        <f>HYPERLINK("http://slimages.macys.com/is/image/MCY/13299350 ")</f>
        <v xml:space="preserve">http://slimages.macys.com/is/image/MCY/13299350 </v>
      </c>
    </row>
    <row r="33" spans="1:12" ht="39.950000000000003" customHeight="1" x14ac:dyDescent="0.25">
      <c r="A33" s="6" t="s">
        <v>3670</v>
      </c>
      <c r="B33" s="7" t="s">
        <v>3671</v>
      </c>
      <c r="C33" s="8">
        <v>0</v>
      </c>
      <c r="D33" s="9">
        <v>0</v>
      </c>
      <c r="E33" s="8" t="s">
        <v>3672</v>
      </c>
      <c r="F33" s="7" t="s">
        <v>3673</v>
      </c>
      <c r="G33" s="10"/>
      <c r="H33" s="7" t="s">
        <v>3365</v>
      </c>
      <c r="I33" s="7" t="s">
        <v>3554</v>
      </c>
      <c r="J33" s="7" t="s">
        <v>3358</v>
      </c>
      <c r="K33" s="7"/>
      <c r="L33" s="11" t="str">
        <f>HYPERLINK("http://slimages.macys.com/is/image/MCY/10468060 ")</f>
        <v xml:space="preserve">http://slimages.macys.com/is/image/MCY/10468060 </v>
      </c>
    </row>
    <row r="34" spans="1:12" ht="39.950000000000003" customHeight="1" x14ac:dyDescent="0.25">
      <c r="A34" s="6" t="s">
        <v>3674</v>
      </c>
      <c r="B34" s="7" t="s">
        <v>3675</v>
      </c>
      <c r="C34" s="8">
        <v>2</v>
      </c>
      <c r="D34" s="9">
        <v>77.98</v>
      </c>
      <c r="E34" s="8">
        <v>56540</v>
      </c>
      <c r="F34" s="7" t="s">
        <v>3371</v>
      </c>
      <c r="G34" s="10"/>
      <c r="H34" s="7" t="s">
        <v>3492</v>
      </c>
      <c r="I34" s="7" t="s">
        <v>3636</v>
      </c>
      <c r="J34" s="7" t="s">
        <v>3358</v>
      </c>
      <c r="K34" s="7" t="s">
        <v>3582</v>
      </c>
      <c r="L34" s="11" t="str">
        <f>HYPERLINK("http://slimages.macys.com/is/image/MCY/16426603 ")</f>
        <v xml:space="preserve">http://slimages.macys.com/is/image/MCY/16426603 </v>
      </c>
    </row>
    <row r="35" spans="1:12" ht="39.950000000000003" customHeight="1" x14ac:dyDescent="0.25">
      <c r="A35" s="6" t="s">
        <v>3676</v>
      </c>
      <c r="B35" s="7" t="s">
        <v>3677</v>
      </c>
      <c r="C35" s="8">
        <v>1</v>
      </c>
      <c r="D35" s="9">
        <v>39.99</v>
      </c>
      <c r="E35" s="8">
        <v>226422</v>
      </c>
      <c r="F35" s="7" t="s">
        <v>3384</v>
      </c>
      <c r="G35" s="10"/>
      <c r="H35" s="7" t="s">
        <v>3397</v>
      </c>
      <c r="I35" s="7" t="s">
        <v>3398</v>
      </c>
      <c r="J35" s="7" t="s">
        <v>3358</v>
      </c>
      <c r="K35" s="7" t="s">
        <v>3582</v>
      </c>
      <c r="L35" s="11" t="str">
        <f>HYPERLINK("http://slimages.macys.com/is/image/MCY/3031501 ")</f>
        <v xml:space="preserve">http://slimages.macys.com/is/image/MCY/3031501 </v>
      </c>
    </row>
    <row r="36" spans="1:12" ht="39.950000000000003" customHeight="1" x14ac:dyDescent="0.25">
      <c r="A36" s="6" t="s">
        <v>3678</v>
      </c>
      <c r="B36" s="7" t="s">
        <v>3679</v>
      </c>
      <c r="C36" s="8">
        <v>1</v>
      </c>
      <c r="D36" s="9">
        <v>39.99</v>
      </c>
      <c r="E36" s="8" t="s">
        <v>3680</v>
      </c>
      <c r="F36" s="7"/>
      <c r="G36" s="10" t="s">
        <v>3681</v>
      </c>
      <c r="H36" s="7" t="s">
        <v>3427</v>
      </c>
      <c r="I36" s="7" t="s">
        <v>3682</v>
      </c>
      <c r="J36" s="7" t="s">
        <v>3358</v>
      </c>
      <c r="K36" s="7" t="s">
        <v>3683</v>
      </c>
      <c r="L36" s="11" t="str">
        <f>HYPERLINK("http://slimages.macys.com/is/image/MCY/13038003 ")</f>
        <v xml:space="preserve">http://slimages.macys.com/is/image/MCY/13038003 </v>
      </c>
    </row>
    <row r="37" spans="1:12" ht="39.950000000000003" customHeight="1" x14ac:dyDescent="0.25">
      <c r="A37" s="6" t="s">
        <v>3684</v>
      </c>
      <c r="B37" s="7" t="s">
        <v>3685</v>
      </c>
      <c r="C37" s="8">
        <v>1</v>
      </c>
      <c r="D37" s="9">
        <v>79.989999999999995</v>
      </c>
      <c r="E37" s="8" t="s">
        <v>3686</v>
      </c>
      <c r="F37" s="7" t="s">
        <v>3363</v>
      </c>
      <c r="G37" s="10"/>
      <c r="H37" s="7" t="s">
        <v>3471</v>
      </c>
      <c r="I37" s="7" t="s">
        <v>3378</v>
      </c>
      <c r="J37" s="7" t="s">
        <v>3608</v>
      </c>
      <c r="K37" s="7"/>
      <c r="L37" s="11" t="str">
        <f>HYPERLINK("http://slimages.macys.com/is/image/MCY/12779303 ")</f>
        <v xml:space="preserve">http://slimages.macys.com/is/image/MCY/12779303 </v>
      </c>
    </row>
    <row r="38" spans="1:12" ht="39.950000000000003" customHeight="1" x14ac:dyDescent="0.25">
      <c r="A38" s="6" t="s">
        <v>3687</v>
      </c>
      <c r="B38" s="7" t="s">
        <v>3688</v>
      </c>
      <c r="C38" s="8">
        <v>1</v>
      </c>
      <c r="D38" s="9">
        <v>44.99</v>
      </c>
      <c r="E38" s="8" t="s">
        <v>3689</v>
      </c>
      <c r="F38" s="7" t="s">
        <v>3363</v>
      </c>
      <c r="G38" s="10" t="s">
        <v>3690</v>
      </c>
      <c r="H38" s="7" t="s">
        <v>3471</v>
      </c>
      <c r="I38" s="7" t="s">
        <v>3691</v>
      </c>
      <c r="J38" s="7" t="s">
        <v>3692</v>
      </c>
      <c r="K38" s="7" t="s">
        <v>3693</v>
      </c>
      <c r="L38" s="11" t="str">
        <f>HYPERLINK("http://slimages.macys.com/is/image/MCY/9406278 ")</f>
        <v xml:space="preserve">http://slimages.macys.com/is/image/MCY/9406278 </v>
      </c>
    </row>
    <row r="39" spans="1:12" ht="39.950000000000003" customHeight="1" x14ac:dyDescent="0.25">
      <c r="A39" s="6" t="s">
        <v>3694</v>
      </c>
      <c r="B39" s="7" t="s">
        <v>3695</v>
      </c>
      <c r="C39" s="8">
        <v>1</v>
      </c>
      <c r="D39" s="9">
        <v>29.99</v>
      </c>
      <c r="E39" s="8" t="s">
        <v>3696</v>
      </c>
      <c r="F39" s="7" t="s">
        <v>3363</v>
      </c>
      <c r="G39" s="10" t="s">
        <v>3460</v>
      </c>
      <c r="H39" s="7" t="s">
        <v>3427</v>
      </c>
      <c r="I39" s="7" t="s">
        <v>3697</v>
      </c>
      <c r="J39" s="7" t="s">
        <v>3358</v>
      </c>
      <c r="K39" s="7"/>
      <c r="L39" s="11" t="str">
        <f>HYPERLINK("http://slimages.macys.com/is/image/MCY/9705260 ")</f>
        <v xml:space="preserve">http://slimages.macys.com/is/image/MCY/9705260 </v>
      </c>
    </row>
    <row r="40" spans="1:12" ht="39.950000000000003" customHeight="1" x14ac:dyDescent="0.25">
      <c r="A40" s="6" t="s">
        <v>3698</v>
      </c>
      <c r="B40" s="7" t="s">
        <v>3699</v>
      </c>
      <c r="C40" s="8">
        <v>1</v>
      </c>
      <c r="D40" s="9">
        <v>69.989999999999995</v>
      </c>
      <c r="E40" s="8" t="s">
        <v>3700</v>
      </c>
      <c r="F40" s="7" t="s">
        <v>3701</v>
      </c>
      <c r="G40" s="10"/>
      <c r="H40" s="7" t="s">
        <v>3365</v>
      </c>
      <c r="I40" s="7" t="s">
        <v>3385</v>
      </c>
      <c r="J40" s="7" t="s">
        <v>3358</v>
      </c>
      <c r="K40" s="7" t="s">
        <v>3702</v>
      </c>
      <c r="L40" s="11" t="str">
        <f>HYPERLINK("http://slimages.macys.com/is/image/MCY/15495852 ")</f>
        <v xml:space="preserve">http://slimages.macys.com/is/image/MCY/15495852 </v>
      </c>
    </row>
    <row r="41" spans="1:12" ht="39.950000000000003" customHeight="1" x14ac:dyDescent="0.25">
      <c r="A41" s="6" t="s">
        <v>3703</v>
      </c>
      <c r="B41" s="7" t="s">
        <v>3704</v>
      </c>
      <c r="C41" s="8">
        <v>1</v>
      </c>
      <c r="D41" s="9">
        <v>29.99</v>
      </c>
      <c r="E41" s="8" t="s">
        <v>3705</v>
      </c>
      <c r="F41" s="7" t="s">
        <v>3706</v>
      </c>
      <c r="G41" s="10"/>
      <c r="H41" s="7" t="s">
        <v>3515</v>
      </c>
      <c r="I41" s="7" t="s">
        <v>3707</v>
      </c>
      <c r="J41" s="7" t="s">
        <v>3358</v>
      </c>
      <c r="K41" s="7" t="s">
        <v>3708</v>
      </c>
      <c r="L41" s="11" t="str">
        <f>HYPERLINK("http://slimages.macys.com/is/image/MCY/11708745 ")</f>
        <v xml:space="preserve">http://slimages.macys.com/is/image/MCY/11708745 </v>
      </c>
    </row>
    <row r="42" spans="1:12" ht="39.950000000000003" customHeight="1" x14ac:dyDescent="0.25">
      <c r="A42" s="6" t="s">
        <v>3709</v>
      </c>
      <c r="B42" s="7" t="s">
        <v>3710</v>
      </c>
      <c r="C42" s="8">
        <v>1</v>
      </c>
      <c r="D42" s="9">
        <v>29.99</v>
      </c>
      <c r="E42" s="8" t="s">
        <v>3711</v>
      </c>
      <c r="F42" s="7" t="s">
        <v>3498</v>
      </c>
      <c r="G42" s="10"/>
      <c r="H42" s="7" t="s">
        <v>3431</v>
      </c>
      <c r="I42" s="7" t="s">
        <v>3432</v>
      </c>
      <c r="J42" s="7"/>
      <c r="K42" s="7"/>
      <c r="L42" s="11" t="str">
        <f>HYPERLINK("http://slimages.macys.com/is/image/MCY/17922649 ")</f>
        <v xml:space="preserve">http://slimages.macys.com/is/image/MCY/17922649 </v>
      </c>
    </row>
    <row r="43" spans="1:12" ht="39.950000000000003" customHeight="1" x14ac:dyDescent="0.25">
      <c r="A43" s="6" t="s">
        <v>3712</v>
      </c>
      <c r="B43" s="7" t="s">
        <v>3713</v>
      </c>
      <c r="C43" s="8">
        <v>1</v>
      </c>
      <c r="D43" s="9">
        <v>31.99</v>
      </c>
      <c r="E43" s="8" t="s">
        <v>3714</v>
      </c>
      <c r="F43" s="7" t="s">
        <v>3384</v>
      </c>
      <c r="G43" s="10"/>
      <c r="H43" s="7" t="s">
        <v>3412</v>
      </c>
      <c r="I43" s="7" t="s">
        <v>3436</v>
      </c>
      <c r="J43" s="7" t="s">
        <v>3358</v>
      </c>
      <c r="K43" s="7" t="s">
        <v>3715</v>
      </c>
      <c r="L43" s="11" t="str">
        <f>HYPERLINK("http://slimages.macys.com/is/image/MCY/9767691 ")</f>
        <v xml:space="preserve">http://slimages.macys.com/is/image/MCY/9767691 </v>
      </c>
    </row>
    <row r="44" spans="1:12" ht="39.950000000000003" customHeight="1" x14ac:dyDescent="0.25">
      <c r="A44" s="6" t="s">
        <v>3716</v>
      </c>
      <c r="B44" s="7" t="s">
        <v>3717</v>
      </c>
      <c r="C44" s="8">
        <v>1</v>
      </c>
      <c r="D44" s="9">
        <v>39.99</v>
      </c>
      <c r="E44" s="8" t="s">
        <v>3718</v>
      </c>
      <c r="F44" s="7" t="s">
        <v>3498</v>
      </c>
      <c r="G44" s="10"/>
      <c r="H44" s="7" t="s">
        <v>3601</v>
      </c>
      <c r="I44" s="7" t="s">
        <v>3602</v>
      </c>
      <c r="J44" s="7" t="s">
        <v>3358</v>
      </c>
      <c r="K44" s="7"/>
      <c r="L44" s="11" t="str">
        <f>HYPERLINK("http://slimages.macys.com/is/image/MCY/8432521 ")</f>
        <v xml:space="preserve">http://slimages.macys.com/is/image/MCY/8432521 </v>
      </c>
    </row>
    <row r="45" spans="1:12" ht="39.950000000000003" customHeight="1" x14ac:dyDescent="0.25">
      <c r="A45" s="6" t="s">
        <v>3719</v>
      </c>
      <c r="B45" s="7" t="s">
        <v>3720</v>
      </c>
      <c r="C45" s="8">
        <v>1</v>
      </c>
      <c r="D45" s="9">
        <v>26.99</v>
      </c>
      <c r="E45" s="8" t="s">
        <v>3721</v>
      </c>
      <c r="F45" s="7" t="s">
        <v>3477</v>
      </c>
      <c r="G45" s="10"/>
      <c r="H45" s="7" t="s">
        <v>3526</v>
      </c>
      <c r="I45" s="7" t="s">
        <v>3722</v>
      </c>
      <c r="J45" s="7" t="s">
        <v>3358</v>
      </c>
      <c r="K45" s="7" t="s">
        <v>3723</v>
      </c>
      <c r="L45" s="11" t="str">
        <f>HYPERLINK("http://slimages.macys.com/is/image/MCY/10284415 ")</f>
        <v xml:space="preserve">http://slimages.macys.com/is/image/MCY/10284415 </v>
      </c>
    </row>
    <row r="46" spans="1:12" ht="39.950000000000003" customHeight="1" x14ac:dyDescent="0.25">
      <c r="A46" s="6" t="s">
        <v>3724</v>
      </c>
      <c r="B46" s="7" t="s">
        <v>3725</v>
      </c>
      <c r="C46" s="8">
        <v>1</v>
      </c>
      <c r="D46" s="9">
        <v>19.989999999999998</v>
      </c>
      <c r="E46" s="8">
        <v>51923</v>
      </c>
      <c r="F46" s="7" t="s">
        <v>3384</v>
      </c>
      <c r="G46" s="10"/>
      <c r="H46" s="7" t="s">
        <v>3492</v>
      </c>
      <c r="I46" s="7" t="s">
        <v>3636</v>
      </c>
      <c r="J46" s="7" t="s">
        <v>3358</v>
      </c>
      <c r="K46" s="7"/>
      <c r="L46" s="11" t="str">
        <f>HYPERLINK("http://slimages.macys.com/is/image/MCY/9057742 ")</f>
        <v xml:space="preserve">http://slimages.macys.com/is/image/MCY/9057742 </v>
      </c>
    </row>
    <row r="47" spans="1:12" ht="39.950000000000003" customHeight="1" x14ac:dyDescent="0.25">
      <c r="A47" s="6" t="s">
        <v>3726</v>
      </c>
      <c r="B47" s="7" t="s">
        <v>3727</v>
      </c>
      <c r="C47" s="8">
        <v>1</v>
      </c>
      <c r="D47" s="9">
        <v>30.99</v>
      </c>
      <c r="E47" s="8" t="s">
        <v>3728</v>
      </c>
      <c r="F47" s="7" t="s">
        <v>3729</v>
      </c>
      <c r="G47" s="10" t="s">
        <v>3730</v>
      </c>
      <c r="H47" s="7" t="s">
        <v>3492</v>
      </c>
      <c r="I47" s="7" t="s">
        <v>3731</v>
      </c>
      <c r="J47" s="7" t="s">
        <v>3358</v>
      </c>
      <c r="K47" s="7" t="s">
        <v>3390</v>
      </c>
      <c r="L47" s="11" t="str">
        <f>HYPERLINK("http://slimages.macys.com/is/image/MCY/15769008 ")</f>
        <v xml:space="preserve">http://slimages.macys.com/is/image/MCY/15769008 </v>
      </c>
    </row>
    <row r="48" spans="1:12" ht="39.950000000000003" customHeight="1" x14ac:dyDescent="0.25">
      <c r="A48" s="6" t="s">
        <v>3732</v>
      </c>
      <c r="B48" s="7" t="s">
        <v>3733</v>
      </c>
      <c r="C48" s="8">
        <v>1</v>
      </c>
      <c r="D48" s="9">
        <v>29.99</v>
      </c>
      <c r="E48" s="8" t="s">
        <v>3734</v>
      </c>
      <c r="F48" s="7" t="s">
        <v>3735</v>
      </c>
      <c r="G48" s="10"/>
      <c r="H48" s="7" t="s">
        <v>3356</v>
      </c>
      <c r="I48" s="7" t="s">
        <v>3736</v>
      </c>
      <c r="J48" s="7" t="s">
        <v>3358</v>
      </c>
      <c r="K48" s="7" t="s">
        <v>3390</v>
      </c>
      <c r="L48" s="11" t="str">
        <f>HYPERLINK("http://slimages.macys.com/is/image/MCY/3769061 ")</f>
        <v xml:space="preserve">http://slimages.macys.com/is/image/MCY/3769061 </v>
      </c>
    </row>
    <row r="49" spans="1:12" ht="39.950000000000003" customHeight="1" x14ac:dyDescent="0.25">
      <c r="A49" s="6" t="s">
        <v>3737</v>
      </c>
      <c r="B49" s="7" t="s">
        <v>3738</v>
      </c>
      <c r="C49" s="8">
        <v>1</v>
      </c>
      <c r="D49" s="9">
        <v>20.99</v>
      </c>
      <c r="E49" s="8">
        <v>55406</v>
      </c>
      <c r="F49" s="7" t="s">
        <v>3477</v>
      </c>
      <c r="G49" s="10"/>
      <c r="H49" s="7" t="s">
        <v>3492</v>
      </c>
      <c r="I49" s="7" t="s">
        <v>3636</v>
      </c>
      <c r="J49" s="7" t="s">
        <v>3358</v>
      </c>
      <c r="K49" s="7"/>
      <c r="L49" s="11" t="str">
        <f>HYPERLINK("http://slimages.macys.com/is/image/MCY/9972679 ")</f>
        <v xml:space="preserve">http://slimages.macys.com/is/image/MCY/9972679 </v>
      </c>
    </row>
    <row r="50" spans="1:12" ht="39.950000000000003" customHeight="1" x14ac:dyDescent="0.25">
      <c r="A50" s="6" t="s">
        <v>3739</v>
      </c>
      <c r="B50" s="7" t="s">
        <v>3740</v>
      </c>
      <c r="C50" s="8">
        <v>1</v>
      </c>
      <c r="D50" s="9">
        <v>19.989999999999998</v>
      </c>
      <c r="E50" s="8">
        <v>53586</v>
      </c>
      <c r="F50" s="7" t="s">
        <v>3443</v>
      </c>
      <c r="G50" s="10"/>
      <c r="H50" s="7" t="s">
        <v>3492</v>
      </c>
      <c r="I50" s="7" t="s">
        <v>3636</v>
      </c>
      <c r="J50" s="7" t="s">
        <v>3358</v>
      </c>
      <c r="K50" s="7" t="s">
        <v>3390</v>
      </c>
      <c r="L50" s="11" t="str">
        <f>HYPERLINK("http://slimages.macys.com/is/image/MCY/2956985 ")</f>
        <v xml:space="preserve">http://slimages.macys.com/is/image/MCY/2956985 </v>
      </c>
    </row>
    <row r="51" spans="1:12" ht="39.950000000000003" customHeight="1" x14ac:dyDescent="0.25">
      <c r="A51" s="6" t="s">
        <v>3741</v>
      </c>
      <c r="B51" s="7" t="s">
        <v>3742</v>
      </c>
      <c r="C51" s="8">
        <v>2</v>
      </c>
      <c r="D51" s="9">
        <v>49.98</v>
      </c>
      <c r="E51" s="8">
        <v>64212</v>
      </c>
      <c r="F51" s="7" t="s">
        <v>3363</v>
      </c>
      <c r="G51" s="10"/>
      <c r="H51" s="7" t="s">
        <v>3388</v>
      </c>
      <c r="I51" s="7" t="s">
        <v>3389</v>
      </c>
      <c r="J51" s="7" t="s">
        <v>3379</v>
      </c>
      <c r="K51" s="7" t="s">
        <v>3743</v>
      </c>
      <c r="L51" s="11" t="str">
        <f>HYPERLINK("http://slimages.macys.com/is/image/MCY/14724460 ")</f>
        <v xml:space="preserve">http://slimages.macys.com/is/image/MCY/14724460 </v>
      </c>
    </row>
    <row r="52" spans="1:12" ht="39.950000000000003" customHeight="1" x14ac:dyDescent="0.25">
      <c r="A52" s="6" t="s">
        <v>3744</v>
      </c>
      <c r="B52" s="7" t="s">
        <v>3745</v>
      </c>
      <c r="C52" s="8">
        <v>1</v>
      </c>
      <c r="D52" s="9">
        <v>39.99</v>
      </c>
      <c r="E52" s="8" t="s">
        <v>3746</v>
      </c>
      <c r="F52" s="7" t="s">
        <v>3600</v>
      </c>
      <c r="G52" s="10"/>
      <c r="H52" s="7" t="s">
        <v>3601</v>
      </c>
      <c r="I52" s="7" t="s">
        <v>3602</v>
      </c>
      <c r="J52" s="7" t="s">
        <v>3358</v>
      </c>
      <c r="K52" s="7" t="s">
        <v>3582</v>
      </c>
      <c r="L52" s="11" t="str">
        <f>HYPERLINK("http://slimages.macys.com/is/image/MCY/8460170 ")</f>
        <v xml:space="preserve">http://slimages.macys.com/is/image/MCY/8460170 </v>
      </c>
    </row>
    <row r="53" spans="1:12" ht="39.950000000000003" customHeight="1" x14ac:dyDescent="0.25">
      <c r="A53" s="6" t="s">
        <v>3747</v>
      </c>
      <c r="B53" s="7" t="s">
        <v>3748</v>
      </c>
      <c r="C53" s="8">
        <v>1</v>
      </c>
      <c r="D53" s="9">
        <v>29.99</v>
      </c>
      <c r="E53" s="8" t="s">
        <v>3749</v>
      </c>
      <c r="F53" s="7" t="s">
        <v>3363</v>
      </c>
      <c r="G53" s="10" t="s">
        <v>3750</v>
      </c>
      <c r="H53" s="7" t="s">
        <v>3658</v>
      </c>
      <c r="I53" s="7" t="s">
        <v>3659</v>
      </c>
      <c r="J53" s="7" t="s">
        <v>3751</v>
      </c>
      <c r="K53" s="7" t="s">
        <v>3367</v>
      </c>
      <c r="L53" s="11" t="str">
        <f>HYPERLINK("http://slimages.macys.com/is/image/MCY/9938529 ")</f>
        <v xml:space="preserve">http://slimages.macys.com/is/image/MCY/9938529 </v>
      </c>
    </row>
    <row r="54" spans="1:12" ht="39.950000000000003" customHeight="1" x14ac:dyDescent="0.25">
      <c r="A54" s="6" t="s">
        <v>3752</v>
      </c>
      <c r="B54" s="7" t="s">
        <v>3753</v>
      </c>
      <c r="C54" s="8">
        <v>1</v>
      </c>
      <c r="D54" s="9">
        <v>16.989999999999998</v>
      </c>
      <c r="E54" s="8" t="s">
        <v>3754</v>
      </c>
      <c r="F54" s="7" t="s">
        <v>3542</v>
      </c>
      <c r="G54" s="10"/>
      <c r="H54" s="7" t="s">
        <v>3515</v>
      </c>
      <c r="I54" s="7" t="s">
        <v>3755</v>
      </c>
      <c r="J54" s="7" t="s">
        <v>3358</v>
      </c>
      <c r="K54" s="7" t="s">
        <v>3756</v>
      </c>
      <c r="L54" s="11" t="str">
        <f>HYPERLINK("http://slimages.macys.com/is/image/MCY/14465200 ")</f>
        <v xml:space="preserve">http://slimages.macys.com/is/image/MCY/14465200 </v>
      </c>
    </row>
    <row r="55" spans="1:12" ht="39.950000000000003" customHeight="1" x14ac:dyDescent="0.25">
      <c r="A55" s="6" t="s">
        <v>3757</v>
      </c>
      <c r="B55" s="7" t="s">
        <v>3758</v>
      </c>
      <c r="C55" s="8">
        <v>1</v>
      </c>
      <c r="D55" s="9">
        <v>17.989999999999998</v>
      </c>
      <c r="E55" s="8" t="s">
        <v>3759</v>
      </c>
      <c r="F55" s="7" t="s">
        <v>3542</v>
      </c>
      <c r="G55" s="10" t="s">
        <v>3760</v>
      </c>
      <c r="H55" s="7" t="s">
        <v>3471</v>
      </c>
      <c r="I55" s="7" t="s">
        <v>3761</v>
      </c>
      <c r="J55" s="7" t="s">
        <v>3751</v>
      </c>
      <c r="K55" s="7"/>
      <c r="L55" s="11" t="str">
        <f>HYPERLINK("http://slimages.macys.com/is/image/MCY/9526176 ")</f>
        <v xml:space="preserve">http://slimages.macys.com/is/image/MCY/9526176 </v>
      </c>
    </row>
    <row r="56" spans="1:12" ht="39.950000000000003" customHeight="1" x14ac:dyDescent="0.25">
      <c r="A56" s="6" t="s">
        <v>3762</v>
      </c>
      <c r="B56" s="7" t="s">
        <v>3763</v>
      </c>
      <c r="C56" s="8">
        <v>1</v>
      </c>
      <c r="D56" s="9">
        <v>14.99</v>
      </c>
      <c r="E56" s="8" t="s">
        <v>3764</v>
      </c>
      <c r="F56" s="7" t="s">
        <v>3632</v>
      </c>
      <c r="G56" s="10"/>
      <c r="H56" s="7" t="s">
        <v>3492</v>
      </c>
      <c r="I56" s="7" t="s">
        <v>3636</v>
      </c>
      <c r="J56" s="7" t="s">
        <v>3358</v>
      </c>
      <c r="K56" s="7" t="s">
        <v>3390</v>
      </c>
      <c r="L56" s="11" t="str">
        <f>HYPERLINK("http://slimages.macys.com/is/image/MCY/9058123 ")</f>
        <v xml:space="preserve">http://slimages.macys.com/is/image/MCY/9058123 </v>
      </c>
    </row>
    <row r="57" spans="1:12" ht="39.950000000000003" customHeight="1" x14ac:dyDescent="0.25">
      <c r="A57" s="6" t="s">
        <v>3765</v>
      </c>
      <c r="B57" s="7" t="s">
        <v>3766</v>
      </c>
      <c r="C57" s="8">
        <v>1</v>
      </c>
      <c r="D57" s="9">
        <v>16.989999999999998</v>
      </c>
      <c r="E57" s="8" t="s">
        <v>3767</v>
      </c>
      <c r="F57" s="7" t="s">
        <v>3363</v>
      </c>
      <c r="G57" s="10" t="s">
        <v>3532</v>
      </c>
      <c r="H57" s="7" t="s">
        <v>3482</v>
      </c>
      <c r="I57" s="7" t="s">
        <v>3618</v>
      </c>
      <c r="J57" s="7" t="s">
        <v>3358</v>
      </c>
      <c r="K57" s="7" t="s">
        <v>3484</v>
      </c>
      <c r="L57" s="11" t="str">
        <f>HYPERLINK("http://slimages.macys.com/is/image/MCY/12737864 ")</f>
        <v xml:space="preserve">http://slimages.macys.com/is/image/MCY/12737864 </v>
      </c>
    </row>
    <row r="58" spans="1:12" ht="39.950000000000003" customHeight="1" x14ac:dyDescent="0.25">
      <c r="A58" s="6" t="s">
        <v>3768</v>
      </c>
      <c r="B58" s="7" t="s">
        <v>3769</v>
      </c>
      <c r="C58" s="8">
        <v>1</v>
      </c>
      <c r="D58" s="9">
        <v>39.99</v>
      </c>
      <c r="E58" s="8" t="s">
        <v>3770</v>
      </c>
      <c r="F58" s="7" t="s">
        <v>3701</v>
      </c>
      <c r="G58" s="10"/>
      <c r="H58" s="7" t="s">
        <v>3601</v>
      </c>
      <c r="I58" s="7" t="s">
        <v>3602</v>
      </c>
      <c r="J58" s="7" t="s">
        <v>3358</v>
      </c>
      <c r="K58" s="7"/>
      <c r="L58" s="11" t="str">
        <f>HYPERLINK("http://slimages.macys.com/is/image/MCY/8433239 ")</f>
        <v xml:space="preserve">http://slimages.macys.com/is/image/MCY/8433239 </v>
      </c>
    </row>
    <row r="59" spans="1:12" ht="39.950000000000003" customHeight="1" x14ac:dyDescent="0.25">
      <c r="A59" s="6" t="s">
        <v>3771</v>
      </c>
      <c r="B59" s="7" t="s">
        <v>3772</v>
      </c>
      <c r="C59" s="8">
        <v>1</v>
      </c>
      <c r="D59" s="9">
        <v>19.989999999999998</v>
      </c>
      <c r="E59" s="8" t="s">
        <v>3773</v>
      </c>
      <c r="F59" s="7" t="s">
        <v>3498</v>
      </c>
      <c r="G59" s="10" t="s">
        <v>3774</v>
      </c>
      <c r="H59" s="7" t="s">
        <v>3482</v>
      </c>
      <c r="I59" s="7" t="s">
        <v>3618</v>
      </c>
      <c r="J59" s="7" t="s">
        <v>3358</v>
      </c>
      <c r="K59" s="7" t="s">
        <v>3582</v>
      </c>
      <c r="L59" s="11" t="str">
        <f>HYPERLINK("http://slimages.macys.com/is/image/MCY/13285490 ")</f>
        <v xml:space="preserve">http://slimages.macys.com/is/image/MCY/13285490 </v>
      </c>
    </row>
    <row r="60" spans="1:12" ht="39.950000000000003" customHeight="1" x14ac:dyDescent="0.25">
      <c r="A60" s="6" t="s">
        <v>3775</v>
      </c>
      <c r="B60" s="7" t="s">
        <v>3776</v>
      </c>
      <c r="C60" s="8">
        <v>1</v>
      </c>
      <c r="D60" s="9">
        <v>14.99</v>
      </c>
      <c r="E60" s="8" t="s">
        <v>3777</v>
      </c>
      <c r="F60" s="7" t="s">
        <v>3363</v>
      </c>
      <c r="G60" s="10" t="s">
        <v>3532</v>
      </c>
      <c r="H60" s="7" t="s">
        <v>3482</v>
      </c>
      <c r="I60" s="7" t="s">
        <v>3659</v>
      </c>
      <c r="J60" s="7" t="s">
        <v>3358</v>
      </c>
      <c r="K60" s="7" t="s">
        <v>3521</v>
      </c>
      <c r="L60" s="11" t="str">
        <f>HYPERLINK("http://slimages.macys.com/is/image/MCY/11946722 ")</f>
        <v xml:space="preserve">http://slimages.macys.com/is/image/MCY/11946722 </v>
      </c>
    </row>
    <row r="61" spans="1:12" ht="39.950000000000003" customHeight="1" x14ac:dyDescent="0.25">
      <c r="A61" s="6" t="s">
        <v>3778</v>
      </c>
      <c r="B61" s="7" t="s">
        <v>3779</v>
      </c>
      <c r="C61" s="8">
        <v>1</v>
      </c>
      <c r="D61" s="9">
        <v>7.99</v>
      </c>
      <c r="E61" s="8" t="s">
        <v>3780</v>
      </c>
      <c r="F61" s="7" t="s">
        <v>3781</v>
      </c>
      <c r="G61" s="10" t="s">
        <v>3532</v>
      </c>
      <c r="H61" s="7" t="s">
        <v>3482</v>
      </c>
      <c r="I61" s="7" t="s">
        <v>3483</v>
      </c>
      <c r="J61" s="7" t="s">
        <v>3358</v>
      </c>
      <c r="K61" s="7" t="s">
        <v>3484</v>
      </c>
      <c r="L61" s="11" t="str">
        <f>HYPERLINK("http://slimages.macys.com/is/image/MCY/12723264 ")</f>
        <v xml:space="preserve">http://slimages.macys.com/is/image/MCY/12723264 </v>
      </c>
    </row>
    <row r="62" spans="1:12" ht="39.950000000000003" customHeight="1" x14ac:dyDescent="0.25">
      <c r="A62" s="6" t="s">
        <v>3782</v>
      </c>
      <c r="B62" s="7" t="s">
        <v>3783</v>
      </c>
      <c r="C62" s="8">
        <v>1</v>
      </c>
      <c r="D62" s="9">
        <v>199.99</v>
      </c>
      <c r="E62" s="8" t="s">
        <v>3784</v>
      </c>
      <c r="F62" s="7" t="s">
        <v>3363</v>
      </c>
      <c r="G62" s="10" t="s">
        <v>3645</v>
      </c>
      <c r="H62" s="7" t="s">
        <v>3471</v>
      </c>
      <c r="I62" s="7" t="s">
        <v>3548</v>
      </c>
      <c r="J62" s="7"/>
      <c r="K62" s="7"/>
      <c r="L62" s="11"/>
    </row>
    <row r="63" spans="1:12" ht="39.950000000000003" customHeight="1" x14ac:dyDescent="0.25">
      <c r="A63" s="6" t="s">
        <v>3785</v>
      </c>
      <c r="B63" s="7" t="s">
        <v>3786</v>
      </c>
      <c r="C63" s="8">
        <v>1</v>
      </c>
      <c r="D63" s="9">
        <v>229.99</v>
      </c>
      <c r="E63" s="8" t="s">
        <v>3787</v>
      </c>
      <c r="F63" s="7" t="s">
        <v>3363</v>
      </c>
      <c r="G63" s="10" t="s">
        <v>3788</v>
      </c>
      <c r="H63" s="7" t="s">
        <v>3365</v>
      </c>
      <c r="I63" s="7" t="s">
        <v>3366</v>
      </c>
      <c r="J63" s="7"/>
      <c r="K63" s="7"/>
      <c r="L63" s="11"/>
    </row>
    <row r="64" spans="1:12" ht="39.950000000000003" customHeight="1" x14ac:dyDescent="0.25">
      <c r="A64" s="6" t="s">
        <v>3540</v>
      </c>
      <c r="B64" s="7" t="s">
        <v>3541</v>
      </c>
      <c r="C64" s="8">
        <v>2</v>
      </c>
      <c r="D64" s="9">
        <v>80</v>
      </c>
      <c r="E64" s="8"/>
      <c r="F64" s="7" t="s">
        <v>3542</v>
      </c>
      <c r="G64" s="10" t="s">
        <v>3504</v>
      </c>
      <c r="H64" s="7" t="s">
        <v>3543</v>
      </c>
      <c r="I64" s="7" t="s">
        <v>3544</v>
      </c>
      <c r="J64" s="7"/>
      <c r="K64" s="7"/>
      <c r="L64" s="11"/>
    </row>
    <row r="65" spans="1:12" ht="39.950000000000003" customHeight="1" x14ac:dyDescent="0.25">
      <c r="A65" s="6" t="s">
        <v>3789</v>
      </c>
      <c r="B65" s="7" t="s">
        <v>3790</v>
      </c>
      <c r="C65" s="8">
        <v>1</v>
      </c>
      <c r="D65" s="9">
        <v>59.99</v>
      </c>
      <c r="E65" s="8" t="s">
        <v>3791</v>
      </c>
      <c r="F65" s="7" t="s">
        <v>3384</v>
      </c>
      <c r="G65" s="10"/>
      <c r="H65" s="7" t="s">
        <v>3492</v>
      </c>
      <c r="I65" s="7" t="s">
        <v>3669</v>
      </c>
      <c r="J65" s="7"/>
      <c r="K65" s="7"/>
      <c r="L65" s="11"/>
    </row>
    <row r="66" spans="1:12" ht="39.950000000000003" customHeight="1" x14ac:dyDescent="0.25">
      <c r="A66" s="6" t="s">
        <v>3792</v>
      </c>
      <c r="B66" s="7" t="s">
        <v>3793</v>
      </c>
      <c r="C66" s="8">
        <v>1</v>
      </c>
      <c r="D66" s="9">
        <v>33.99</v>
      </c>
      <c r="E66" s="8">
        <v>57818</v>
      </c>
      <c r="F66" s="7" t="s">
        <v>3525</v>
      </c>
      <c r="G66" s="10"/>
      <c r="H66" s="7" t="s">
        <v>3492</v>
      </c>
      <c r="I66" s="7" t="s">
        <v>3636</v>
      </c>
      <c r="J66" s="7"/>
      <c r="K66" s="7"/>
      <c r="L66" s="11"/>
    </row>
    <row r="67" spans="1:12" ht="39.950000000000003" customHeight="1" x14ac:dyDescent="0.25">
      <c r="A67" s="6" t="s">
        <v>3794</v>
      </c>
      <c r="B67" s="7" t="s">
        <v>3795</v>
      </c>
      <c r="C67" s="8">
        <v>1</v>
      </c>
      <c r="D67" s="9">
        <v>12.99</v>
      </c>
      <c r="E67" s="8" t="s">
        <v>3796</v>
      </c>
      <c r="F67" s="7" t="s">
        <v>3735</v>
      </c>
      <c r="G67" s="10"/>
      <c r="H67" s="7" t="s">
        <v>3526</v>
      </c>
      <c r="I67" s="7" t="s">
        <v>3527</v>
      </c>
      <c r="J67" s="7"/>
      <c r="K67" s="7"/>
      <c r="L67" s="11"/>
    </row>
    <row r="68" spans="1:12" ht="39.950000000000003" customHeight="1" x14ac:dyDescent="0.25">
      <c r="A68" s="6" t="s">
        <v>3797</v>
      </c>
      <c r="B68" s="7" t="s">
        <v>3798</v>
      </c>
      <c r="C68" s="8">
        <v>2</v>
      </c>
      <c r="D68" s="9">
        <v>25.98</v>
      </c>
      <c r="E68" s="8" t="s">
        <v>3796</v>
      </c>
      <c r="F68" s="7" t="s">
        <v>3706</v>
      </c>
      <c r="G68" s="10"/>
      <c r="H68" s="7" t="s">
        <v>3526</v>
      </c>
      <c r="I68" s="7" t="s">
        <v>3527</v>
      </c>
      <c r="J68" s="7"/>
      <c r="K68" s="7"/>
      <c r="L68" s="11"/>
    </row>
    <row r="69" spans="1:12" ht="39.950000000000003" customHeight="1" x14ac:dyDescent="0.25">
      <c r="A69" s="6" t="s">
        <v>3799</v>
      </c>
      <c r="B69" s="7" t="s">
        <v>3800</v>
      </c>
      <c r="C69" s="8">
        <v>1</v>
      </c>
      <c r="D69" s="9">
        <v>11.99</v>
      </c>
      <c r="E69" s="8" t="s">
        <v>3801</v>
      </c>
      <c r="F69" s="7" t="s">
        <v>3802</v>
      </c>
      <c r="G69" s="10"/>
      <c r="H69" s="7" t="s">
        <v>3515</v>
      </c>
      <c r="I69" s="7" t="s">
        <v>3803</v>
      </c>
      <c r="J69" s="7"/>
      <c r="K69" s="7"/>
      <c r="L69" s="11"/>
    </row>
  </sheetData>
  <phoneticPr fontId="0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workbookViewId="0"/>
  </sheetViews>
  <sheetFormatPr defaultRowHeight="39.950000000000003" customHeight="1" x14ac:dyDescent="0.25"/>
  <cols>
    <col min="1" max="1" width="14.28515625" customWidth="1"/>
    <col min="2" max="2" width="50.85546875" customWidth="1"/>
    <col min="3" max="3" width="15" customWidth="1"/>
    <col min="4" max="4" width="10.28515625" customWidth="1"/>
    <col min="5" max="5" width="16.57031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3804</v>
      </c>
      <c r="B2" s="7" t="s">
        <v>3805</v>
      </c>
      <c r="C2" s="8">
        <v>1</v>
      </c>
      <c r="D2" s="9">
        <v>329.99</v>
      </c>
      <c r="E2" s="8" t="s">
        <v>3806</v>
      </c>
      <c r="F2" s="7" t="s">
        <v>3706</v>
      </c>
      <c r="G2" s="10"/>
      <c r="H2" s="7" t="s">
        <v>3427</v>
      </c>
      <c r="I2" s="7" t="s">
        <v>3807</v>
      </c>
      <c r="J2" s="7" t="s">
        <v>3358</v>
      </c>
      <c r="K2" s="7" t="s">
        <v>3582</v>
      </c>
      <c r="L2" s="11" t="str">
        <f>HYPERLINK("http://slimages.macys.com/is/image/MCY/15387882 ")</f>
        <v xml:space="preserve">http://slimages.macys.com/is/image/MCY/15387882 </v>
      </c>
    </row>
    <row r="3" spans="1:12" ht="39.950000000000003" customHeight="1" x14ac:dyDescent="0.25">
      <c r="A3" s="6" t="s">
        <v>3808</v>
      </c>
      <c r="B3" s="7" t="s">
        <v>3809</v>
      </c>
      <c r="C3" s="8">
        <v>1</v>
      </c>
      <c r="D3" s="9">
        <v>299.99</v>
      </c>
      <c r="E3" s="8" t="s">
        <v>3810</v>
      </c>
      <c r="F3" s="7" t="s">
        <v>3600</v>
      </c>
      <c r="G3" s="10" t="s">
        <v>3811</v>
      </c>
      <c r="H3" s="7" t="s">
        <v>3397</v>
      </c>
      <c r="I3" s="7" t="s">
        <v>3812</v>
      </c>
      <c r="J3" s="7" t="s">
        <v>3813</v>
      </c>
      <c r="K3" s="7" t="s">
        <v>3814</v>
      </c>
      <c r="L3" s="11" t="str">
        <f>HYPERLINK("http://images.bloomingdales.com/is/image/BLM/10177359 ")</f>
        <v xml:space="preserve">http://images.bloomingdales.com/is/image/BLM/10177359 </v>
      </c>
    </row>
    <row r="4" spans="1:12" ht="39.950000000000003" customHeight="1" x14ac:dyDescent="0.25">
      <c r="A4" s="6" t="s">
        <v>3815</v>
      </c>
      <c r="B4" s="7" t="s">
        <v>3816</v>
      </c>
      <c r="C4" s="8">
        <v>1</v>
      </c>
      <c r="D4" s="9">
        <v>203</v>
      </c>
      <c r="E4" s="8" t="s">
        <v>3817</v>
      </c>
      <c r="F4" s="7" t="s">
        <v>3503</v>
      </c>
      <c r="G4" s="10"/>
      <c r="H4" s="7" t="s">
        <v>3818</v>
      </c>
      <c r="I4" s="7" t="s">
        <v>3819</v>
      </c>
      <c r="J4" s="7" t="s">
        <v>3692</v>
      </c>
      <c r="K4" s="7" t="s">
        <v>3484</v>
      </c>
      <c r="L4" s="11" t="str">
        <f>HYPERLINK("http://images.bloomingdales.com/is/image/BLM/10184951 ")</f>
        <v xml:space="preserve">http://images.bloomingdales.com/is/image/BLM/10184951 </v>
      </c>
    </row>
    <row r="5" spans="1:12" ht="39.950000000000003" customHeight="1" x14ac:dyDescent="0.25">
      <c r="A5" s="6" t="s">
        <v>3374</v>
      </c>
      <c r="B5" s="7" t="s">
        <v>3375</v>
      </c>
      <c r="C5" s="8">
        <v>1</v>
      </c>
      <c r="D5" s="9">
        <v>199.99</v>
      </c>
      <c r="E5" s="8" t="s">
        <v>3376</v>
      </c>
      <c r="F5" s="7" t="s">
        <v>3363</v>
      </c>
      <c r="G5" s="10"/>
      <c r="H5" s="7" t="s">
        <v>3377</v>
      </c>
      <c r="I5" s="7" t="s">
        <v>3378</v>
      </c>
      <c r="J5" s="7" t="s">
        <v>3379</v>
      </c>
      <c r="K5" s="7" t="s">
        <v>3380</v>
      </c>
      <c r="L5" s="11" t="str">
        <f>HYPERLINK("http://slimages.macys.com/is/image/MCY/3962568 ")</f>
        <v xml:space="preserve">http://slimages.macys.com/is/image/MCY/3962568 </v>
      </c>
    </row>
    <row r="6" spans="1:12" ht="39.950000000000003" customHeight="1" x14ac:dyDescent="0.25">
      <c r="A6" s="6" t="s">
        <v>3820</v>
      </c>
      <c r="B6" s="7" t="s">
        <v>3821</v>
      </c>
      <c r="C6" s="8">
        <v>1</v>
      </c>
      <c r="D6" s="9">
        <v>169.99</v>
      </c>
      <c r="E6" s="8" t="s">
        <v>3822</v>
      </c>
      <c r="F6" s="7" t="s">
        <v>3498</v>
      </c>
      <c r="G6" s="10"/>
      <c r="H6" s="7" t="s">
        <v>3427</v>
      </c>
      <c r="I6" s="7" t="s">
        <v>3682</v>
      </c>
      <c r="J6" s="7" t="s">
        <v>3358</v>
      </c>
      <c r="K6" s="7" t="s">
        <v>3823</v>
      </c>
      <c r="L6" s="11" t="str">
        <f>HYPERLINK("http://slimages.macys.com/is/image/MCY/14824294 ")</f>
        <v xml:space="preserve">http://slimages.macys.com/is/image/MCY/14824294 </v>
      </c>
    </row>
    <row r="7" spans="1:12" ht="39.950000000000003" customHeight="1" x14ac:dyDescent="0.25">
      <c r="A7" s="6" t="s">
        <v>3824</v>
      </c>
      <c r="B7" s="7" t="s">
        <v>3825</v>
      </c>
      <c r="C7" s="8">
        <v>1</v>
      </c>
      <c r="D7" s="9">
        <v>179.99</v>
      </c>
      <c r="E7" s="8" t="s">
        <v>3826</v>
      </c>
      <c r="F7" s="7" t="s">
        <v>3498</v>
      </c>
      <c r="G7" s="10"/>
      <c r="H7" s="7" t="s">
        <v>3827</v>
      </c>
      <c r="I7" s="7" t="s">
        <v>3828</v>
      </c>
      <c r="J7" s="7" t="s">
        <v>3358</v>
      </c>
      <c r="K7" s="7" t="s">
        <v>3829</v>
      </c>
      <c r="L7" s="11" t="str">
        <f>HYPERLINK("http://slimages.macys.com/is/image/MCY/14633361 ")</f>
        <v xml:space="preserve">http://slimages.macys.com/is/image/MCY/14633361 </v>
      </c>
    </row>
    <row r="8" spans="1:12" ht="39.950000000000003" customHeight="1" x14ac:dyDescent="0.25">
      <c r="A8" s="6" t="s">
        <v>3830</v>
      </c>
      <c r="B8" s="7" t="s">
        <v>3831</v>
      </c>
      <c r="C8" s="8">
        <v>2</v>
      </c>
      <c r="D8" s="9">
        <v>359.98</v>
      </c>
      <c r="E8" s="8">
        <v>81393</v>
      </c>
      <c r="F8" s="7" t="s">
        <v>3553</v>
      </c>
      <c r="G8" s="10"/>
      <c r="H8" s="7" t="s">
        <v>3412</v>
      </c>
      <c r="I8" s="7" t="s">
        <v>3595</v>
      </c>
      <c r="J8" s="7" t="s">
        <v>3358</v>
      </c>
      <c r="K8" s="7" t="s">
        <v>3832</v>
      </c>
      <c r="L8" s="11" t="str">
        <f>HYPERLINK("http://slimages.macys.com/is/image/MCY/14789644 ")</f>
        <v xml:space="preserve">http://slimages.macys.com/is/image/MCY/14789644 </v>
      </c>
    </row>
    <row r="9" spans="1:12" ht="39.950000000000003" customHeight="1" x14ac:dyDescent="0.25">
      <c r="A9" s="6" t="s">
        <v>3833</v>
      </c>
      <c r="B9" s="7" t="s">
        <v>3834</v>
      </c>
      <c r="C9" s="8">
        <v>1</v>
      </c>
      <c r="D9" s="9">
        <v>249.99</v>
      </c>
      <c r="E9" s="8" t="s">
        <v>3835</v>
      </c>
      <c r="F9" s="7" t="s">
        <v>3363</v>
      </c>
      <c r="G9" s="10"/>
      <c r="H9" s="7" t="s">
        <v>3365</v>
      </c>
      <c r="I9" s="7" t="s">
        <v>3554</v>
      </c>
      <c r="J9" s="7" t="s">
        <v>3358</v>
      </c>
      <c r="K9" s="7" t="s">
        <v>3836</v>
      </c>
      <c r="L9" s="11" t="str">
        <f>HYPERLINK("http://slimages.macys.com/is/image/MCY/9353024 ")</f>
        <v xml:space="preserve">http://slimages.macys.com/is/image/MCY/9353024 </v>
      </c>
    </row>
    <row r="10" spans="1:12" ht="39.950000000000003" customHeight="1" x14ac:dyDescent="0.25">
      <c r="A10" s="6" t="s">
        <v>3837</v>
      </c>
      <c r="B10" s="7" t="s">
        <v>3838</v>
      </c>
      <c r="C10" s="8">
        <v>1</v>
      </c>
      <c r="D10" s="9">
        <v>109</v>
      </c>
      <c r="E10" s="8" t="s">
        <v>3839</v>
      </c>
      <c r="F10" s="7" t="s">
        <v>3840</v>
      </c>
      <c r="G10" s="10"/>
      <c r="H10" s="7" t="s">
        <v>3492</v>
      </c>
      <c r="I10" s="7" t="s">
        <v>3841</v>
      </c>
      <c r="J10" s="7" t="s">
        <v>3358</v>
      </c>
      <c r="K10" s="7" t="s">
        <v>3484</v>
      </c>
      <c r="L10" s="11" t="str">
        <f>HYPERLINK("http://slimages.macys.com/is/image/MCY/11704381 ")</f>
        <v xml:space="preserve">http://slimages.macys.com/is/image/MCY/11704381 </v>
      </c>
    </row>
    <row r="11" spans="1:12" ht="39.950000000000003" customHeight="1" x14ac:dyDescent="0.25">
      <c r="A11" s="6" t="s">
        <v>3842</v>
      </c>
      <c r="B11" s="7" t="s">
        <v>3843</v>
      </c>
      <c r="C11" s="8">
        <v>1</v>
      </c>
      <c r="D11" s="9">
        <v>179.99</v>
      </c>
      <c r="E11" s="8" t="s">
        <v>3844</v>
      </c>
      <c r="F11" s="7" t="s">
        <v>3781</v>
      </c>
      <c r="G11" s="10"/>
      <c r="H11" s="7" t="s">
        <v>3365</v>
      </c>
      <c r="I11" s="7" t="s">
        <v>3385</v>
      </c>
      <c r="J11" s="7" t="s">
        <v>3358</v>
      </c>
      <c r="K11" s="7" t="s">
        <v>3845</v>
      </c>
      <c r="L11" s="11" t="str">
        <f>HYPERLINK("http://slimages.macys.com/is/image/MCY/15926393 ")</f>
        <v xml:space="preserve">http://slimages.macys.com/is/image/MCY/15926393 </v>
      </c>
    </row>
    <row r="12" spans="1:12" ht="39.950000000000003" customHeight="1" x14ac:dyDescent="0.25">
      <c r="A12" s="6" t="s">
        <v>3846</v>
      </c>
      <c r="B12" s="7" t="s">
        <v>3847</v>
      </c>
      <c r="C12" s="8">
        <v>1</v>
      </c>
      <c r="D12" s="9">
        <v>97.99</v>
      </c>
      <c r="E12" s="8" t="s">
        <v>3848</v>
      </c>
      <c r="F12" s="7" t="s">
        <v>3384</v>
      </c>
      <c r="G12" s="10"/>
      <c r="H12" s="7" t="s">
        <v>3356</v>
      </c>
      <c r="I12" s="7" t="s">
        <v>3849</v>
      </c>
      <c r="J12" s="7" t="s">
        <v>3358</v>
      </c>
      <c r="K12" s="7" t="s">
        <v>3850</v>
      </c>
      <c r="L12" s="11" t="str">
        <f>HYPERLINK("http://slimages.macys.com/is/image/MCY/15198973 ")</f>
        <v xml:space="preserve">http://slimages.macys.com/is/image/MCY/15198973 </v>
      </c>
    </row>
    <row r="13" spans="1:12" ht="39.950000000000003" customHeight="1" x14ac:dyDescent="0.25">
      <c r="A13" s="6" t="s">
        <v>3851</v>
      </c>
      <c r="B13" s="7" t="s">
        <v>3852</v>
      </c>
      <c r="C13" s="8">
        <v>1</v>
      </c>
      <c r="D13" s="9">
        <v>139.99</v>
      </c>
      <c r="E13" s="8" t="s">
        <v>3853</v>
      </c>
      <c r="F13" s="7" t="s">
        <v>3854</v>
      </c>
      <c r="G13" s="10"/>
      <c r="H13" s="7" t="s">
        <v>3365</v>
      </c>
      <c r="I13" s="7" t="s">
        <v>3855</v>
      </c>
      <c r="J13" s="7" t="s">
        <v>3813</v>
      </c>
      <c r="K13" s="7" t="s">
        <v>3856</v>
      </c>
      <c r="L13" s="11" t="str">
        <f>HYPERLINK("http://images.bloomingdales.com/is/image/BLM/11007017 ")</f>
        <v xml:space="preserve">http://images.bloomingdales.com/is/image/BLM/11007017 </v>
      </c>
    </row>
    <row r="14" spans="1:12" ht="39.950000000000003" customHeight="1" x14ac:dyDescent="0.25">
      <c r="A14" s="6" t="s">
        <v>3857</v>
      </c>
      <c r="B14" s="7" t="s">
        <v>3858</v>
      </c>
      <c r="C14" s="8">
        <v>1</v>
      </c>
      <c r="D14" s="9">
        <v>99.99</v>
      </c>
      <c r="E14" s="8">
        <v>32313</v>
      </c>
      <c r="F14" s="7" t="s">
        <v>3363</v>
      </c>
      <c r="G14" s="10"/>
      <c r="H14" s="7" t="s">
        <v>3388</v>
      </c>
      <c r="I14" s="7" t="s">
        <v>3389</v>
      </c>
      <c r="J14" s="7"/>
      <c r="K14" s="7"/>
      <c r="L14" s="11" t="str">
        <f>HYPERLINK("http://slimages.macys.com/is/image/MCY/16708758 ")</f>
        <v xml:space="preserve">http://slimages.macys.com/is/image/MCY/16708758 </v>
      </c>
    </row>
    <row r="15" spans="1:12" ht="39.950000000000003" customHeight="1" x14ac:dyDescent="0.25">
      <c r="A15" s="6" t="s">
        <v>3859</v>
      </c>
      <c r="B15" s="7" t="s">
        <v>3860</v>
      </c>
      <c r="C15" s="8">
        <v>1</v>
      </c>
      <c r="D15" s="9">
        <v>81.99</v>
      </c>
      <c r="E15" s="8" t="s">
        <v>3861</v>
      </c>
      <c r="F15" s="7" t="s">
        <v>3363</v>
      </c>
      <c r="G15" s="10"/>
      <c r="H15" s="7" t="s">
        <v>3372</v>
      </c>
      <c r="I15" s="7" t="s">
        <v>3613</v>
      </c>
      <c r="J15" s="7" t="s">
        <v>3358</v>
      </c>
      <c r="K15" s="7" t="s">
        <v>3614</v>
      </c>
      <c r="L15" s="11" t="str">
        <f>HYPERLINK("http://slimages.macys.com/is/image/MCY/15202022 ")</f>
        <v xml:space="preserve">http://slimages.macys.com/is/image/MCY/15202022 </v>
      </c>
    </row>
    <row r="16" spans="1:12" ht="39.950000000000003" customHeight="1" x14ac:dyDescent="0.25">
      <c r="A16" s="6" t="s">
        <v>3862</v>
      </c>
      <c r="B16" s="7" t="s">
        <v>3863</v>
      </c>
      <c r="C16" s="8">
        <v>1</v>
      </c>
      <c r="D16" s="9">
        <v>78.11</v>
      </c>
      <c r="E16" s="8" t="s">
        <v>3864</v>
      </c>
      <c r="F16" s="7"/>
      <c r="G16" s="10"/>
      <c r="H16" s="7" t="s">
        <v>3526</v>
      </c>
      <c r="I16" s="7" t="s">
        <v>3865</v>
      </c>
      <c r="J16" s="7" t="s">
        <v>3358</v>
      </c>
      <c r="K16" s="7"/>
      <c r="L16" s="11" t="str">
        <f>HYPERLINK("http://slimages.macys.com/is/image/MCY/15390117 ")</f>
        <v xml:space="preserve">http://slimages.macys.com/is/image/MCY/15390117 </v>
      </c>
    </row>
    <row r="17" spans="1:12" ht="39.950000000000003" customHeight="1" x14ac:dyDescent="0.25">
      <c r="A17" s="6" t="s">
        <v>3866</v>
      </c>
      <c r="B17" s="7" t="s">
        <v>3867</v>
      </c>
      <c r="C17" s="8">
        <v>1</v>
      </c>
      <c r="D17" s="9">
        <v>64.989999999999995</v>
      </c>
      <c r="E17" s="8">
        <v>221929</v>
      </c>
      <c r="F17" s="7" t="s">
        <v>3363</v>
      </c>
      <c r="G17" s="10"/>
      <c r="H17" s="7" t="s">
        <v>3397</v>
      </c>
      <c r="I17" s="7" t="s">
        <v>3585</v>
      </c>
      <c r="J17" s="7" t="s">
        <v>3358</v>
      </c>
      <c r="K17" s="7" t="s">
        <v>3390</v>
      </c>
      <c r="L17" s="11" t="str">
        <f>HYPERLINK("http://slimages.macys.com/is/image/MCY/15729707 ")</f>
        <v xml:space="preserve">http://slimages.macys.com/is/image/MCY/15729707 </v>
      </c>
    </row>
    <row r="18" spans="1:12" ht="39.950000000000003" customHeight="1" x14ac:dyDescent="0.25">
      <c r="A18" s="6" t="s">
        <v>3868</v>
      </c>
      <c r="B18" s="7" t="s">
        <v>3869</v>
      </c>
      <c r="C18" s="8">
        <v>1</v>
      </c>
      <c r="D18" s="9">
        <v>62.99</v>
      </c>
      <c r="E18" s="8" t="s">
        <v>3870</v>
      </c>
      <c r="F18" s="7" t="s">
        <v>3802</v>
      </c>
      <c r="G18" s="10" t="s">
        <v>3447</v>
      </c>
      <c r="H18" s="7" t="s">
        <v>3356</v>
      </c>
      <c r="I18" s="7" t="s">
        <v>3448</v>
      </c>
      <c r="J18" s="7" t="s">
        <v>3358</v>
      </c>
      <c r="K18" s="7" t="s">
        <v>3390</v>
      </c>
      <c r="L18" s="11" t="str">
        <f>HYPERLINK("http://slimages.macys.com/is/image/MCY/16197716 ")</f>
        <v xml:space="preserve">http://slimages.macys.com/is/image/MCY/16197716 </v>
      </c>
    </row>
    <row r="19" spans="1:12" ht="39.950000000000003" customHeight="1" x14ac:dyDescent="0.25">
      <c r="A19" s="6" t="s">
        <v>3871</v>
      </c>
      <c r="B19" s="7" t="s">
        <v>3872</v>
      </c>
      <c r="C19" s="8">
        <v>1</v>
      </c>
      <c r="D19" s="9">
        <v>89.99</v>
      </c>
      <c r="E19" s="8">
        <v>10007212400</v>
      </c>
      <c r="F19" s="7" t="s">
        <v>3363</v>
      </c>
      <c r="G19" s="10"/>
      <c r="H19" s="7" t="s">
        <v>3365</v>
      </c>
      <c r="I19" s="7" t="s">
        <v>3558</v>
      </c>
      <c r="J19" s="7" t="s">
        <v>3358</v>
      </c>
      <c r="K19" s="7"/>
      <c r="L19" s="11" t="str">
        <f>HYPERLINK("http://slimages.macys.com/is/image/MCY/12898924 ")</f>
        <v xml:space="preserve">http://slimages.macys.com/is/image/MCY/12898924 </v>
      </c>
    </row>
    <row r="20" spans="1:12" ht="39.950000000000003" customHeight="1" x14ac:dyDescent="0.25">
      <c r="A20" s="6" t="s">
        <v>3873</v>
      </c>
      <c r="B20" s="7" t="s">
        <v>3874</v>
      </c>
      <c r="C20" s="8">
        <v>2</v>
      </c>
      <c r="D20" s="9">
        <v>99.98</v>
      </c>
      <c r="E20" s="8" t="s">
        <v>3875</v>
      </c>
      <c r="F20" s="7" t="s">
        <v>3735</v>
      </c>
      <c r="G20" s="10"/>
      <c r="H20" s="7" t="s">
        <v>3876</v>
      </c>
      <c r="I20" s="7" t="s">
        <v>3877</v>
      </c>
      <c r="J20" s="7" t="s">
        <v>3358</v>
      </c>
      <c r="K20" s="7" t="s">
        <v>3506</v>
      </c>
      <c r="L20" s="11" t="str">
        <f>HYPERLINK("http://slimages.macys.com/is/image/MCY/10984187 ")</f>
        <v xml:space="preserve">http://slimages.macys.com/is/image/MCY/10984187 </v>
      </c>
    </row>
    <row r="21" spans="1:12" ht="39.950000000000003" customHeight="1" x14ac:dyDescent="0.25">
      <c r="A21" s="6" t="s">
        <v>3878</v>
      </c>
      <c r="B21" s="7" t="s">
        <v>3879</v>
      </c>
      <c r="C21" s="8">
        <v>1</v>
      </c>
      <c r="D21" s="9">
        <v>89.99</v>
      </c>
      <c r="E21" s="8" t="s">
        <v>3880</v>
      </c>
      <c r="F21" s="7" t="s">
        <v>3854</v>
      </c>
      <c r="G21" s="10"/>
      <c r="H21" s="7" t="s">
        <v>3365</v>
      </c>
      <c r="I21" s="7" t="s">
        <v>3855</v>
      </c>
      <c r="J21" s="7" t="s">
        <v>3813</v>
      </c>
      <c r="K21" s="7" t="s">
        <v>3881</v>
      </c>
      <c r="L21" s="11" t="str">
        <f>HYPERLINK("http://images.bloomingdales.com/is/image/BLM/11007018 ")</f>
        <v xml:space="preserve">http://images.bloomingdales.com/is/image/BLM/11007018 </v>
      </c>
    </row>
    <row r="22" spans="1:12" ht="39.950000000000003" customHeight="1" x14ac:dyDescent="0.25">
      <c r="A22" s="6" t="s">
        <v>3882</v>
      </c>
      <c r="B22" s="7" t="s">
        <v>3883</v>
      </c>
      <c r="C22" s="8">
        <v>1</v>
      </c>
      <c r="D22" s="9">
        <v>79.989999999999995</v>
      </c>
      <c r="E22" s="8" t="s">
        <v>3884</v>
      </c>
      <c r="F22" s="7" t="s">
        <v>3363</v>
      </c>
      <c r="G22" s="10"/>
      <c r="H22" s="7" t="s">
        <v>3365</v>
      </c>
      <c r="I22" s="7" t="s">
        <v>3554</v>
      </c>
      <c r="J22" s="7" t="s">
        <v>3358</v>
      </c>
      <c r="K22" s="7" t="s">
        <v>3885</v>
      </c>
      <c r="L22" s="11" t="str">
        <f>HYPERLINK("http://slimages.macys.com/is/image/MCY/16381700 ")</f>
        <v xml:space="preserve">http://slimages.macys.com/is/image/MCY/16381700 </v>
      </c>
    </row>
    <row r="23" spans="1:12" ht="39.950000000000003" customHeight="1" x14ac:dyDescent="0.25">
      <c r="A23" s="6" t="s">
        <v>3886</v>
      </c>
      <c r="B23" s="7" t="s">
        <v>3887</v>
      </c>
      <c r="C23" s="8">
        <v>1</v>
      </c>
      <c r="D23" s="9">
        <v>59.99</v>
      </c>
      <c r="E23" s="8" t="s">
        <v>3888</v>
      </c>
      <c r="F23" s="7" t="s">
        <v>3889</v>
      </c>
      <c r="G23" s="10"/>
      <c r="H23" s="7" t="s">
        <v>3356</v>
      </c>
      <c r="I23" s="7" t="s">
        <v>3651</v>
      </c>
      <c r="J23" s="7" t="s">
        <v>3358</v>
      </c>
      <c r="K23" s="7" t="s">
        <v>3390</v>
      </c>
      <c r="L23" s="11" t="str">
        <f>HYPERLINK("http://slimages.macys.com/is/image/MCY/9965724 ")</f>
        <v xml:space="preserve">http://slimages.macys.com/is/image/MCY/9965724 </v>
      </c>
    </row>
    <row r="24" spans="1:12" ht="39.950000000000003" customHeight="1" x14ac:dyDescent="0.25">
      <c r="A24" s="6" t="s">
        <v>3890</v>
      </c>
      <c r="B24" s="7" t="s">
        <v>3891</v>
      </c>
      <c r="C24" s="8">
        <v>1</v>
      </c>
      <c r="D24" s="9">
        <v>49.99</v>
      </c>
      <c r="E24" s="8" t="s">
        <v>3892</v>
      </c>
      <c r="F24" s="7" t="s">
        <v>3371</v>
      </c>
      <c r="G24" s="10" t="s">
        <v>3893</v>
      </c>
      <c r="H24" s="7" t="s">
        <v>3876</v>
      </c>
      <c r="I24" s="7" t="s">
        <v>3894</v>
      </c>
      <c r="J24" s="7" t="s">
        <v>3358</v>
      </c>
      <c r="K24" s="7" t="s">
        <v>3895</v>
      </c>
      <c r="L24" s="11" t="str">
        <f>HYPERLINK("http://slimages.macys.com/is/image/MCY/8437848 ")</f>
        <v xml:space="preserve">http://slimages.macys.com/is/image/MCY/8437848 </v>
      </c>
    </row>
    <row r="25" spans="1:12" ht="39.950000000000003" customHeight="1" x14ac:dyDescent="0.25">
      <c r="A25" s="6" t="s">
        <v>3670</v>
      </c>
      <c r="B25" s="7" t="s">
        <v>3671</v>
      </c>
      <c r="C25" s="8">
        <v>1</v>
      </c>
      <c r="D25" s="9">
        <v>69.989999999999995</v>
      </c>
      <c r="E25" s="8" t="s">
        <v>3672</v>
      </c>
      <c r="F25" s="7" t="s">
        <v>3673</v>
      </c>
      <c r="G25" s="10"/>
      <c r="H25" s="7" t="s">
        <v>3365</v>
      </c>
      <c r="I25" s="7" t="s">
        <v>3554</v>
      </c>
      <c r="J25" s="7" t="s">
        <v>3358</v>
      </c>
      <c r="K25" s="7"/>
      <c r="L25" s="11" t="str">
        <f>HYPERLINK("http://slimages.macys.com/is/image/MCY/10468060 ")</f>
        <v xml:space="preserve">http://slimages.macys.com/is/image/MCY/10468060 </v>
      </c>
    </row>
    <row r="26" spans="1:12" ht="39.950000000000003" customHeight="1" x14ac:dyDescent="0.25">
      <c r="A26" s="6" t="s">
        <v>3896</v>
      </c>
      <c r="B26" s="7" t="s">
        <v>3897</v>
      </c>
      <c r="C26" s="8">
        <v>1</v>
      </c>
      <c r="D26" s="9">
        <v>34.99</v>
      </c>
      <c r="E26" s="8" t="s">
        <v>3898</v>
      </c>
      <c r="F26" s="7" t="s">
        <v>3899</v>
      </c>
      <c r="G26" s="10"/>
      <c r="H26" s="7" t="s">
        <v>3526</v>
      </c>
      <c r="I26" s="7" t="s">
        <v>3900</v>
      </c>
      <c r="J26" s="7" t="s">
        <v>3358</v>
      </c>
      <c r="K26" s="7" t="s">
        <v>3901</v>
      </c>
      <c r="L26" s="11" t="str">
        <f>HYPERLINK("http://slimages.macys.com/is/image/MCY/13793448 ")</f>
        <v xml:space="preserve">http://slimages.macys.com/is/image/MCY/13793448 </v>
      </c>
    </row>
    <row r="27" spans="1:12" ht="39.950000000000003" customHeight="1" x14ac:dyDescent="0.25">
      <c r="A27" s="6" t="s">
        <v>3902</v>
      </c>
      <c r="B27" s="7" t="s">
        <v>3903</v>
      </c>
      <c r="C27" s="8">
        <v>2</v>
      </c>
      <c r="D27" s="9">
        <v>119.98</v>
      </c>
      <c r="E27" s="8">
        <v>10004897500</v>
      </c>
      <c r="F27" s="7" t="s">
        <v>3904</v>
      </c>
      <c r="G27" s="10"/>
      <c r="H27" s="7" t="s">
        <v>3658</v>
      </c>
      <c r="I27" s="7" t="s">
        <v>3905</v>
      </c>
      <c r="J27" s="7" t="s">
        <v>3358</v>
      </c>
      <c r="K27" s="7"/>
      <c r="L27" s="11" t="str">
        <f>HYPERLINK("http://slimages.macys.com/is/image/MCY/14823286 ")</f>
        <v xml:space="preserve">http://slimages.macys.com/is/image/MCY/14823286 </v>
      </c>
    </row>
    <row r="28" spans="1:12" ht="39.950000000000003" customHeight="1" x14ac:dyDescent="0.25">
      <c r="A28" s="6" t="s">
        <v>3906</v>
      </c>
      <c r="B28" s="7" t="s">
        <v>3907</v>
      </c>
      <c r="C28" s="8">
        <v>1</v>
      </c>
      <c r="D28" s="9">
        <v>59.99</v>
      </c>
      <c r="E28" s="8">
        <v>10004897500</v>
      </c>
      <c r="F28" s="7" t="s">
        <v>3384</v>
      </c>
      <c r="G28" s="10"/>
      <c r="H28" s="7" t="s">
        <v>3658</v>
      </c>
      <c r="I28" s="7" t="s">
        <v>3905</v>
      </c>
      <c r="J28" s="7" t="s">
        <v>3358</v>
      </c>
      <c r="K28" s="7"/>
      <c r="L28" s="11" t="str">
        <f>HYPERLINK("http://slimages.macys.com/is/image/MCY/14823286 ")</f>
        <v xml:space="preserve">http://slimages.macys.com/is/image/MCY/14823286 </v>
      </c>
    </row>
    <row r="29" spans="1:12" ht="39.950000000000003" customHeight="1" x14ac:dyDescent="0.25">
      <c r="A29" s="6" t="s">
        <v>3908</v>
      </c>
      <c r="B29" s="7" t="s">
        <v>3909</v>
      </c>
      <c r="C29" s="8">
        <v>1</v>
      </c>
      <c r="D29" s="9">
        <v>79.989999999999995</v>
      </c>
      <c r="E29" s="8" t="s">
        <v>3910</v>
      </c>
      <c r="F29" s="7" t="s">
        <v>3854</v>
      </c>
      <c r="G29" s="10"/>
      <c r="H29" s="7" t="s">
        <v>3365</v>
      </c>
      <c r="I29" s="7" t="s">
        <v>3855</v>
      </c>
      <c r="J29" s="7" t="s">
        <v>3813</v>
      </c>
      <c r="K29" s="7" t="s">
        <v>3911</v>
      </c>
      <c r="L29" s="11" t="str">
        <f>HYPERLINK("http://images.bloomingdales.com/is/image/BLM/10774073 ")</f>
        <v xml:space="preserve">http://images.bloomingdales.com/is/image/BLM/10774073 </v>
      </c>
    </row>
    <row r="30" spans="1:12" ht="39.950000000000003" customHeight="1" x14ac:dyDescent="0.25">
      <c r="A30" s="6" t="s">
        <v>3912</v>
      </c>
      <c r="B30" s="7" t="s">
        <v>3913</v>
      </c>
      <c r="C30" s="8">
        <v>1</v>
      </c>
      <c r="D30" s="9">
        <v>39.99</v>
      </c>
      <c r="E30" s="8">
        <v>100071320</v>
      </c>
      <c r="F30" s="7" t="s">
        <v>3594</v>
      </c>
      <c r="G30" s="10" t="s">
        <v>3914</v>
      </c>
      <c r="H30" s="7" t="s">
        <v>3454</v>
      </c>
      <c r="I30" s="7" t="s">
        <v>3915</v>
      </c>
      <c r="J30" s="7" t="s">
        <v>3358</v>
      </c>
      <c r="K30" s="7"/>
      <c r="L30" s="11" t="str">
        <f>HYPERLINK("http://slimages.macys.com/is/image/MCY/14337667 ")</f>
        <v xml:space="preserve">http://slimages.macys.com/is/image/MCY/14337667 </v>
      </c>
    </row>
    <row r="31" spans="1:12" ht="39.950000000000003" customHeight="1" x14ac:dyDescent="0.25">
      <c r="A31" s="6" t="s">
        <v>3916</v>
      </c>
      <c r="B31" s="7" t="s">
        <v>3917</v>
      </c>
      <c r="C31" s="8">
        <v>1</v>
      </c>
      <c r="D31" s="9">
        <v>29.99</v>
      </c>
      <c r="E31" s="8" t="s">
        <v>3918</v>
      </c>
      <c r="F31" s="7" t="s">
        <v>3525</v>
      </c>
      <c r="G31" s="10"/>
      <c r="H31" s="7" t="s">
        <v>3492</v>
      </c>
      <c r="I31" s="7" t="s">
        <v>3499</v>
      </c>
      <c r="J31" s="7" t="s">
        <v>3358</v>
      </c>
      <c r="K31" s="7"/>
      <c r="L31" s="11" t="str">
        <f>HYPERLINK("http://slimages.macys.com/is/image/MCY/13384485 ")</f>
        <v xml:space="preserve">http://slimages.macys.com/is/image/MCY/13384485 </v>
      </c>
    </row>
    <row r="32" spans="1:12" ht="39.950000000000003" customHeight="1" x14ac:dyDescent="0.25">
      <c r="A32" s="6" t="s">
        <v>3919</v>
      </c>
      <c r="B32" s="7" t="s">
        <v>3920</v>
      </c>
      <c r="C32" s="8">
        <v>1</v>
      </c>
      <c r="D32" s="9">
        <v>29.99</v>
      </c>
      <c r="E32" s="8">
        <v>56257</v>
      </c>
      <c r="F32" s="7" t="s">
        <v>3921</v>
      </c>
      <c r="G32" s="10"/>
      <c r="H32" s="7" t="s">
        <v>3492</v>
      </c>
      <c r="I32" s="7" t="s">
        <v>3636</v>
      </c>
      <c r="J32" s="7" t="s">
        <v>3358</v>
      </c>
      <c r="K32" s="7" t="s">
        <v>3390</v>
      </c>
      <c r="L32" s="11" t="str">
        <f>HYPERLINK("http://slimages.macys.com/is/image/MCY/16059876 ")</f>
        <v xml:space="preserve">http://slimages.macys.com/is/image/MCY/16059876 </v>
      </c>
    </row>
    <row r="33" spans="1:12" ht="39.950000000000003" customHeight="1" x14ac:dyDescent="0.25">
      <c r="A33" s="6" t="s">
        <v>3922</v>
      </c>
      <c r="B33" s="7" t="s">
        <v>3923</v>
      </c>
      <c r="C33" s="8">
        <v>1</v>
      </c>
      <c r="D33" s="9">
        <v>29.99</v>
      </c>
      <c r="E33" s="8" t="s">
        <v>3924</v>
      </c>
      <c r="F33" s="7" t="s">
        <v>3925</v>
      </c>
      <c r="G33" s="10"/>
      <c r="H33" s="7" t="s">
        <v>3492</v>
      </c>
      <c r="I33" s="7" t="s">
        <v>3499</v>
      </c>
      <c r="J33" s="7" t="s">
        <v>3358</v>
      </c>
      <c r="K33" s="7" t="s">
        <v>3521</v>
      </c>
      <c r="L33" s="11" t="str">
        <f>HYPERLINK("http://slimages.macys.com/is/image/MCY/11926858 ")</f>
        <v xml:space="preserve">http://slimages.macys.com/is/image/MCY/11926858 </v>
      </c>
    </row>
    <row r="34" spans="1:12" ht="39.950000000000003" customHeight="1" x14ac:dyDescent="0.25">
      <c r="A34" s="6" t="s">
        <v>3926</v>
      </c>
      <c r="B34" s="7" t="s">
        <v>3927</v>
      </c>
      <c r="C34" s="8">
        <v>1</v>
      </c>
      <c r="D34" s="9">
        <v>39.99</v>
      </c>
      <c r="E34" s="8">
        <v>97005</v>
      </c>
      <c r="F34" s="7" t="s">
        <v>3363</v>
      </c>
      <c r="G34" s="10" t="s">
        <v>3460</v>
      </c>
      <c r="H34" s="7" t="s">
        <v>3471</v>
      </c>
      <c r="I34" s="7" t="s">
        <v>3928</v>
      </c>
      <c r="J34" s="7" t="s">
        <v>3379</v>
      </c>
      <c r="K34" s="7" t="s">
        <v>3929</v>
      </c>
      <c r="L34" s="11" t="str">
        <f>HYPERLINK("http://images.bloomingdales.com/is/image/BLM/9856856 ")</f>
        <v xml:space="preserve">http://images.bloomingdales.com/is/image/BLM/9856856 </v>
      </c>
    </row>
    <row r="35" spans="1:12" ht="39.950000000000003" customHeight="1" x14ac:dyDescent="0.25">
      <c r="A35" s="6" t="s">
        <v>3930</v>
      </c>
      <c r="B35" s="7" t="s">
        <v>3931</v>
      </c>
      <c r="C35" s="8">
        <v>1</v>
      </c>
      <c r="D35" s="9">
        <v>41.99</v>
      </c>
      <c r="E35" s="8" t="s">
        <v>3932</v>
      </c>
      <c r="F35" s="7" t="s">
        <v>3363</v>
      </c>
      <c r="G35" s="10"/>
      <c r="H35" s="7" t="s">
        <v>3377</v>
      </c>
      <c r="I35" s="7" t="s">
        <v>3478</v>
      </c>
      <c r="J35" s="7"/>
      <c r="K35" s="7" t="s">
        <v>3933</v>
      </c>
      <c r="L35" s="11" t="str">
        <f>HYPERLINK("http://slimages.macys.com/is/image/MCY/9489266 ")</f>
        <v xml:space="preserve">http://slimages.macys.com/is/image/MCY/9489266 </v>
      </c>
    </row>
    <row r="36" spans="1:12" ht="39.950000000000003" customHeight="1" x14ac:dyDescent="0.25">
      <c r="A36" s="6" t="s">
        <v>3934</v>
      </c>
      <c r="B36" s="7" t="s">
        <v>3935</v>
      </c>
      <c r="C36" s="8">
        <v>1</v>
      </c>
      <c r="D36" s="9">
        <v>48.99</v>
      </c>
      <c r="E36" s="8" t="s">
        <v>3936</v>
      </c>
      <c r="F36" s="7" t="s">
        <v>3937</v>
      </c>
      <c r="G36" s="10"/>
      <c r="H36" s="7" t="s">
        <v>3492</v>
      </c>
      <c r="I36" s="7" t="s">
        <v>3938</v>
      </c>
      <c r="J36" s="7" t="s">
        <v>3358</v>
      </c>
      <c r="K36" s="7" t="s">
        <v>3390</v>
      </c>
      <c r="L36" s="11" t="str">
        <f>HYPERLINK("http://slimages.macys.com/is/image/MCY/12241794 ")</f>
        <v xml:space="preserve">http://slimages.macys.com/is/image/MCY/12241794 </v>
      </c>
    </row>
    <row r="37" spans="1:12" ht="39.950000000000003" customHeight="1" x14ac:dyDescent="0.25">
      <c r="A37" s="6" t="s">
        <v>3939</v>
      </c>
      <c r="B37" s="7" t="s">
        <v>3940</v>
      </c>
      <c r="C37" s="8">
        <v>1</v>
      </c>
      <c r="D37" s="9">
        <v>29.99</v>
      </c>
      <c r="E37" s="8" t="s">
        <v>3941</v>
      </c>
      <c r="F37" s="7" t="s">
        <v>3802</v>
      </c>
      <c r="G37" s="10"/>
      <c r="H37" s="7" t="s">
        <v>3492</v>
      </c>
      <c r="I37" s="7" t="s">
        <v>3499</v>
      </c>
      <c r="J37" s="7"/>
      <c r="K37" s="7"/>
      <c r="L37" s="11" t="str">
        <f>HYPERLINK("http://slimages.macys.com/is/image/MCY/17566480 ")</f>
        <v xml:space="preserve">http://slimages.macys.com/is/image/MCY/17566480 </v>
      </c>
    </row>
    <row r="38" spans="1:12" ht="39.950000000000003" customHeight="1" x14ac:dyDescent="0.25">
      <c r="A38" s="6" t="s">
        <v>3942</v>
      </c>
      <c r="B38" s="7" t="s">
        <v>3943</v>
      </c>
      <c r="C38" s="8">
        <v>1</v>
      </c>
      <c r="D38" s="9">
        <v>30.99</v>
      </c>
      <c r="E38" s="8">
        <v>6520038</v>
      </c>
      <c r="F38" s="7" t="s">
        <v>3384</v>
      </c>
      <c r="G38" s="10" t="s">
        <v>3504</v>
      </c>
      <c r="H38" s="7" t="s">
        <v>3412</v>
      </c>
      <c r="I38" s="7" t="s">
        <v>3944</v>
      </c>
      <c r="J38" s="7" t="s">
        <v>3358</v>
      </c>
      <c r="K38" s="7"/>
      <c r="L38" s="11" t="str">
        <f>HYPERLINK("http://slimages.macys.com/is/image/MCY/8778957 ")</f>
        <v xml:space="preserve">http://slimages.macys.com/is/image/MCY/8778957 </v>
      </c>
    </row>
    <row r="39" spans="1:12" ht="39.950000000000003" customHeight="1" x14ac:dyDescent="0.25">
      <c r="A39" s="6" t="s">
        <v>3945</v>
      </c>
      <c r="B39" s="7" t="s">
        <v>3946</v>
      </c>
      <c r="C39" s="8">
        <v>1</v>
      </c>
      <c r="D39" s="9">
        <v>37.99</v>
      </c>
      <c r="E39" s="8">
        <v>702</v>
      </c>
      <c r="F39" s="7" t="s">
        <v>3363</v>
      </c>
      <c r="G39" s="10" t="s">
        <v>3947</v>
      </c>
      <c r="H39" s="7" t="s">
        <v>3492</v>
      </c>
      <c r="I39" s="7" t="s">
        <v>3493</v>
      </c>
      <c r="J39" s="7" t="s">
        <v>3358</v>
      </c>
      <c r="K39" s="7" t="s">
        <v>3484</v>
      </c>
      <c r="L39" s="11" t="str">
        <f>HYPERLINK("http://slimages.macys.com/is/image/MCY/14831797 ")</f>
        <v xml:space="preserve">http://slimages.macys.com/is/image/MCY/14831797 </v>
      </c>
    </row>
    <row r="40" spans="1:12" ht="39.950000000000003" customHeight="1" x14ac:dyDescent="0.25">
      <c r="A40" s="6" t="s">
        <v>3948</v>
      </c>
      <c r="B40" s="7" t="s">
        <v>3949</v>
      </c>
      <c r="C40" s="8">
        <v>1</v>
      </c>
      <c r="D40" s="9">
        <v>29.99</v>
      </c>
      <c r="E40" s="8" t="s">
        <v>3950</v>
      </c>
      <c r="F40" s="7" t="s">
        <v>3553</v>
      </c>
      <c r="G40" s="10"/>
      <c r="H40" s="7" t="s">
        <v>3412</v>
      </c>
      <c r="I40" s="7" t="s">
        <v>3510</v>
      </c>
      <c r="J40" s="7" t="s">
        <v>3358</v>
      </c>
      <c r="K40" s="7" t="s">
        <v>3951</v>
      </c>
      <c r="L40" s="11" t="str">
        <f>HYPERLINK("http://slimages.macys.com/is/image/MCY/10652381 ")</f>
        <v xml:space="preserve">http://slimages.macys.com/is/image/MCY/10652381 </v>
      </c>
    </row>
    <row r="41" spans="1:12" ht="39.950000000000003" customHeight="1" x14ac:dyDescent="0.25">
      <c r="A41" s="6" t="s">
        <v>3952</v>
      </c>
      <c r="B41" s="7" t="s">
        <v>3953</v>
      </c>
      <c r="C41" s="8">
        <v>1</v>
      </c>
      <c r="D41" s="9">
        <v>19.989999999999998</v>
      </c>
      <c r="E41" s="8" t="s">
        <v>3954</v>
      </c>
      <c r="F41" s="7" t="s">
        <v>3363</v>
      </c>
      <c r="G41" s="10" t="s">
        <v>3504</v>
      </c>
      <c r="H41" s="7" t="s">
        <v>3492</v>
      </c>
      <c r="I41" s="7" t="s">
        <v>3955</v>
      </c>
      <c r="J41" s="7" t="s">
        <v>3358</v>
      </c>
      <c r="K41" s="7" t="s">
        <v>3506</v>
      </c>
      <c r="L41" s="11" t="str">
        <f>HYPERLINK("http://slimages.macys.com/is/image/MCY/14727135 ")</f>
        <v xml:space="preserve">http://slimages.macys.com/is/image/MCY/14727135 </v>
      </c>
    </row>
    <row r="42" spans="1:12" ht="39.950000000000003" customHeight="1" x14ac:dyDescent="0.25">
      <c r="A42" s="6" t="s">
        <v>3956</v>
      </c>
      <c r="B42" s="7" t="s">
        <v>3957</v>
      </c>
      <c r="C42" s="8">
        <v>2</v>
      </c>
      <c r="D42" s="9">
        <v>69.98</v>
      </c>
      <c r="E42" s="8">
        <v>50052</v>
      </c>
      <c r="F42" s="7" t="s">
        <v>3363</v>
      </c>
      <c r="G42" s="10" t="s">
        <v>3958</v>
      </c>
      <c r="H42" s="7" t="s">
        <v>3471</v>
      </c>
      <c r="I42" s="7" t="s">
        <v>3928</v>
      </c>
      <c r="J42" s="7" t="s">
        <v>3379</v>
      </c>
      <c r="K42" s="7" t="s">
        <v>3959</v>
      </c>
      <c r="L42" s="11" t="str">
        <f>HYPERLINK("http://images.bloomingdales.com/is/image/BLM/9098971 ")</f>
        <v xml:space="preserve">http://images.bloomingdales.com/is/image/BLM/9098971 </v>
      </c>
    </row>
    <row r="43" spans="1:12" ht="39.950000000000003" customHeight="1" x14ac:dyDescent="0.25">
      <c r="A43" s="6" t="s">
        <v>3960</v>
      </c>
      <c r="B43" s="7" t="s">
        <v>3961</v>
      </c>
      <c r="C43" s="8">
        <v>1</v>
      </c>
      <c r="D43" s="9">
        <v>26.99</v>
      </c>
      <c r="E43" s="8">
        <v>46747</v>
      </c>
      <c r="F43" s="7" t="s">
        <v>3363</v>
      </c>
      <c r="G43" s="10" t="s">
        <v>3460</v>
      </c>
      <c r="H43" s="7" t="s">
        <v>3388</v>
      </c>
      <c r="I43" s="7" t="s">
        <v>3389</v>
      </c>
      <c r="J43" s="7" t="s">
        <v>3379</v>
      </c>
      <c r="K43" s="7" t="s">
        <v>3484</v>
      </c>
      <c r="L43" s="11" t="str">
        <f>HYPERLINK("http://slimages.macys.com/is/image/MCY/10055901 ")</f>
        <v xml:space="preserve">http://slimages.macys.com/is/image/MCY/10055901 </v>
      </c>
    </row>
    <row r="44" spans="1:12" ht="39.950000000000003" customHeight="1" x14ac:dyDescent="0.25">
      <c r="A44" s="6" t="s">
        <v>3962</v>
      </c>
      <c r="B44" s="7" t="s">
        <v>3963</v>
      </c>
      <c r="C44" s="8">
        <v>1</v>
      </c>
      <c r="D44" s="9">
        <v>29.99</v>
      </c>
      <c r="E44" s="8" t="s">
        <v>3964</v>
      </c>
      <c r="F44" s="7" t="s">
        <v>3363</v>
      </c>
      <c r="G44" s="10" t="s">
        <v>3663</v>
      </c>
      <c r="H44" s="7" t="s">
        <v>3388</v>
      </c>
      <c r="I44" s="7" t="s">
        <v>3461</v>
      </c>
      <c r="J44" s="7" t="s">
        <v>3358</v>
      </c>
      <c r="K44" s="7" t="s">
        <v>3965</v>
      </c>
      <c r="L44" s="11" t="str">
        <f>HYPERLINK("http://slimages.macys.com/is/image/MCY/15060024 ")</f>
        <v xml:space="preserve">http://slimages.macys.com/is/image/MCY/15060024 </v>
      </c>
    </row>
    <row r="45" spans="1:12" ht="39.950000000000003" customHeight="1" x14ac:dyDescent="0.25">
      <c r="A45" s="6" t="s">
        <v>3966</v>
      </c>
      <c r="B45" s="7" t="s">
        <v>3967</v>
      </c>
      <c r="C45" s="8">
        <v>1</v>
      </c>
      <c r="D45" s="9">
        <v>26.99</v>
      </c>
      <c r="E45" s="8" t="s">
        <v>3968</v>
      </c>
      <c r="F45" s="7"/>
      <c r="G45" s="10"/>
      <c r="H45" s="7" t="s">
        <v>3412</v>
      </c>
      <c r="I45" s="7" t="s">
        <v>3969</v>
      </c>
      <c r="J45" s="7" t="s">
        <v>3358</v>
      </c>
      <c r="K45" s="7" t="s">
        <v>3390</v>
      </c>
      <c r="L45" s="11" t="str">
        <f>HYPERLINK("http://slimages.macys.com/is/image/MCY/16098217 ")</f>
        <v xml:space="preserve">http://slimages.macys.com/is/image/MCY/16098217 </v>
      </c>
    </row>
    <row r="46" spans="1:12" ht="39.950000000000003" customHeight="1" x14ac:dyDescent="0.25">
      <c r="A46" s="6" t="s">
        <v>3970</v>
      </c>
      <c r="B46" s="7" t="s">
        <v>3971</v>
      </c>
      <c r="C46" s="8">
        <v>1</v>
      </c>
      <c r="D46" s="9">
        <v>59.99</v>
      </c>
      <c r="E46" s="8" t="s">
        <v>3972</v>
      </c>
      <c r="F46" s="7" t="s">
        <v>3363</v>
      </c>
      <c r="G46" s="10"/>
      <c r="H46" s="7" t="s">
        <v>3365</v>
      </c>
      <c r="I46" s="7" t="s">
        <v>3973</v>
      </c>
      <c r="J46" s="7" t="s">
        <v>3751</v>
      </c>
      <c r="K46" s="7" t="s">
        <v>3974</v>
      </c>
      <c r="L46" s="11" t="str">
        <f>HYPERLINK("http://images.bloomingdales.com/is/image/BLM/9119230 ")</f>
        <v xml:space="preserve">http://images.bloomingdales.com/is/image/BLM/9119230 </v>
      </c>
    </row>
    <row r="47" spans="1:12" ht="39.950000000000003" customHeight="1" x14ac:dyDescent="0.25">
      <c r="A47" s="6" t="s">
        <v>3975</v>
      </c>
      <c r="B47" s="7" t="s">
        <v>3976</v>
      </c>
      <c r="C47" s="8">
        <v>1</v>
      </c>
      <c r="D47" s="9">
        <v>29.99</v>
      </c>
      <c r="E47" s="8" t="s">
        <v>3977</v>
      </c>
      <c r="F47" s="7" t="s">
        <v>3384</v>
      </c>
      <c r="G47" s="10"/>
      <c r="H47" s="7" t="s">
        <v>3408</v>
      </c>
      <c r="I47" s="7" t="s">
        <v>3409</v>
      </c>
      <c r="J47" s="7" t="s">
        <v>3751</v>
      </c>
      <c r="K47" s="7" t="s">
        <v>3582</v>
      </c>
      <c r="L47" s="11" t="str">
        <f>HYPERLINK("http://slimages.macys.com/is/image/MCY/11320819 ")</f>
        <v xml:space="preserve">http://slimages.macys.com/is/image/MCY/11320819 </v>
      </c>
    </row>
    <row r="48" spans="1:12" ht="39.950000000000003" customHeight="1" x14ac:dyDescent="0.25">
      <c r="A48" s="6" t="s">
        <v>3978</v>
      </c>
      <c r="B48" s="7" t="s">
        <v>3979</v>
      </c>
      <c r="C48" s="8">
        <v>1</v>
      </c>
      <c r="D48" s="9">
        <v>17.989999999999998</v>
      </c>
      <c r="E48" s="8" t="s">
        <v>3980</v>
      </c>
      <c r="F48" s="7" t="s">
        <v>3781</v>
      </c>
      <c r="G48" s="10" t="s">
        <v>3532</v>
      </c>
      <c r="H48" s="7" t="s">
        <v>3372</v>
      </c>
      <c r="I48" s="7" t="s">
        <v>3565</v>
      </c>
      <c r="J48" s="7" t="s">
        <v>3358</v>
      </c>
      <c r="K48" s="7" t="s">
        <v>3981</v>
      </c>
      <c r="L48" s="11" t="str">
        <f>HYPERLINK("http://slimages.macys.com/is/image/MCY/15893112 ")</f>
        <v xml:space="preserve">http://slimages.macys.com/is/image/MCY/15893112 </v>
      </c>
    </row>
    <row r="49" spans="1:12" ht="39.950000000000003" customHeight="1" x14ac:dyDescent="0.25">
      <c r="A49" s="6" t="s">
        <v>3982</v>
      </c>
      <c r="B49" s="7" t="s">
        <v>3983</v>
      </c>
      <c r="C49" s="8">
        <v>2</v>
      </c>
      <c r="D49" s="9">
        <v>49.98</v>
      </c>
      <c r="E49" s="8" t="s">
        <v>3984</v>
      </c>
      <c r="F49" s="7" t="s">
        <v>3363</v>
      </c>
      <c r="G49" s="10" t="s">
        <v>3645</v>
      </c>
      <c r="H49" s="7" t="s">
        <v>3471</v>
      </c>
      <c r="I49" s="7" t="s">
        <v>3985</v>
      </c>
      <c r="J49" s="7"/>
      <c r="K49" s="7"/>
      <c r="L49" s="11" t="str">
        <f>HYPERLINK("http://slimages.macys.com/is/image/MCY/16468846 ")</f>
        <v xml:space="preserve">http://slimages.macys.com/is/image/MCY/16468846 </v>
      </c>
    </row>
    <row r="50" spans="1:12" ht="39.950000000000003" customHeight="1" x14ac:dyDescent="0.25">
      <c r="A50" s="6" t="s">
        <v>3986</v>
      </c>
      <c r="B50" s="7" t="s">
        <v>3987</v>
      </c>
      <c r="C50" s="8">
        <v>1</v>
      </c>
      <c r="D50" s="9">
        <v>19.989999999999998</v>
      </c>
      <c r="E50" s="8" t="s">
        <v>3988</v>
      </c>
      <c r="F50" s="7" t="s">
        <v>3481</v>
      </c>
      <c r="G50" s="10" t="s">
        <v>3532</v>
      </c>
      <c r="H50" s="7" t="s">
        <v>3515</v>
      </c>
      <c r="I50" s="7" t="s">
        <v>3989</v>
      </c>
      <c r="J50" s="7" t="s">
        <v>3358</v>
      </c>
      <c r="K50" s="7" t="s">
        <v>3582</v>
      </c>
      <c r="L50" s="11" t="str">
        <f>HYPERLINK("http://slimages.macys.com/is/image/MCY/10944339 ")</f>
        <v xml:space="preserve">http://slimages.macys.com/is/image/MCY/10944339 </v>
      </c>
    </row>
    <row r="51" spans="1:12" ht="39.950000000000003" customHeight="1" x14ac:dyDescent="0.25">
      <c r="A51" s="6" t="s">
        <v>3990</v>
      </c>
      <c r="B51" s="7" t="s">
        <v>3991</v>
      </c>
      <c r="C51" s="8">
        <v>1</v>
      </c>
      <c r="D51" s="9">
        <v>29.99</v>
      </c>
      <c r="E51" s="8">
        <v>100088173</v>
      </c>
      <c r="F51" s="7" t="s">
        <v>3992</v>
      </c>
      <c r="G51" s="10" t="s">
        <v>3893</v>
      </c>
      <c r="H51" s="7" t="s">
        <v>3418</v>
      </c>
      <c r="I51" s="7" t="s">
        <v>3993</v>
      </c>
      <c r="J51" s="7" t="s">
        <v>3358</v>
      </c>
      <c r="K51" s="7"/>
      <c r="L51" s="11" t="str">
        <f>HYPERLINK("http://slimages.macys.com/is/image/MCY/16141997 ")</f>
        <v xml:space="preserve">http://slimages.macys.com/is/image/MCY/16141997 </v>
      </c>
    </row>
    <row r="52" spans="1:12" ht="39.950000000000003" customHeight="1" x14ac:dyDescent="0.25">
      <c r="A52" s="6" t="s">
        <v>3994</v>
      </c>
      <c r="B52" s="7" t="s">
        <v>3995</v>
      </c>
      <c r="C52" s="8">
        <v>1</v>
      </c>
      <c r="D52" s="9">
        <v>21.99</v>
      </c>
      <c r="E52" s="8">
        <v>50049</v>
      </c>
      <c r="F52" s="7" t="s">
        <v>3363</v>
      </c>
      <c r="G52" s="10" t="s">
        <v>3460</v>
      </c>
      <c r="H52" s="7" t="s">
        <v>3471</v>
      </c>
      <c r="I52" s="7" t="s">
        <v>3928</v>
      </c>
      <c r="J52" s="7" t="s">
        <v>3379</v>
      </c>
      <c r="K52" s="7" t="s">
        <v>3959</v>
      </c>
      <c r="L52" s="11" t="str">
        <f>HYPERLINK("http://images.bloomingdales.com/is/image/BLM/9098968 ")</f>
        <v xml:space="preserve">http://images.bloomingdales.com/is/image/BLM/9098968 </v>
      </c>
    </row>
    <row r="53" spans="1:12" ht="39.950000000000003" customHeight="1" x14ac:dyDescent="0.25">
      <c r="A53" s="6" t="s">
        <v>3996</v>
      </c>
      <c r="B53" s="7" t="s">
        <v>3997</v>
      </c>
      <c r="C53" s="8">
        <v>1</v>
      </c>
      <c r="D53" s="9">
        <v>25.99</v>
      </c>
      <c r="E53" s="8">
        <v>6580704</v>
      </c>
      <c r="F53" s="7"/>
      <c r="G53" s="10"/>
      <c r="H53" s="7" t="s">
        <v>3492</v>
      </c>
      <c r="I53" s="7" t="s">
        <v>3998</v>
      </c>
      <c r="J53" s="7" t="s">
        <v>3358</v>
      </c>
      <c r="K53" s="7" t="s">
        <v>3506</v>
      </c>
      <c r="L53" s="11" t="str">
        <f>HYPERLINK("http://slimages.macys.com/is/image/MCY/14365416 ")</f>
        <v xml:space="preserve">http://slimages.macys.com/is/image/MCY/14365416 </v>
      </c>
    </row>
    <row r="54" spans="1:12" ht="39.950000000000003" customHeight="1" x14ac:dyDescent="0.25">
      <c r="A54" s="6" t="s">
        <v>3999</v>
      </c>
      <c r="B54" s="7" t="s">
        <v>4000</v>
      </c>
      <c r="C54" s="8">
        <v>1</v>
      </c>
      <c r="D54" s="9">
        <v>39.99</v>
      </c>
      <c r="E54" s="8" t="s">
        <v>4001</v>
      </c>
      <c r="F54" s="7" t="s">
        <v>3384</v>
      </c>
      <c r="G54" s="10"/>
      <c r="H54" s="7" t="s">
        <v>3601</v>
      </c>
      <c r="I54" s="7" t="s">
        <v>3602</v>
      </c>
      <c r="J54" s="7" t="s">
        <v>3358</v>
      </c>
      <c r="K54" s="7" t="s">
        <v>4002</v>
      </c>
      <c r="L54" s="11" t="str">
        <f>HYPERLINK("http://slimages.macys.com/is/image/MCY/14907061 ")</f>
        <v xml:space="preserve">http://slimages.macys.com/is/image/MCY/14907061 </v>
      </c>
    </row>
    <row r="55" spans="1:12" ht="39.950000000000003" customHeight="1" x14ac:dyDescent="0.25">
      <c r="A55" s="6" t="s">
        <v>4003</v>
      </c>
      <c r="B55" s="7" t="s">
        <v>4004</v>
      </c>
      <c r="C55" s="8">
        <v>1</v>
      </c>
      <c r="D55" s="9">
        <v>13.99</v>
      </c>
      <c r="E55" s="8" t="s">
        <v>4005</v>
      </c>
      <c r="F55" s="7" t="s">
        <v>3363</v>
      </c>
      <c r="G55" s="10"/>
      <c r="H55" s="7" t="s">
        <v>3412</v>
      </c>
      <c r="I55" s="7" t="s">
        <v>4006</v>
      </c>
      <c r="J55" s="7" t="s">
        <v>3358</v>
      </c>
      <c r="K55" s="7" t="s">
        <v>3390</v>
      </c>
      <c r="L55" s="11" t="str">
        <f>HYPERLINK("http://slimages.macys.com/is/image/MCY/11312547 ")</f>
        <v xml:space="preserve">http://slimages.macys.com/is/image/MCY/11312547 </v>
      </c>
    </row>
    <row r="56" spans="1:12" ht="39.950000000000003" customHeight="1" x14ac:dyDescent="0.25">
      <c r="A56" s="6" t="s">
        <v>4007</v>
      </c>
      <c r="B56" s="7" t="s">
        <v>4008</v>
      </c>
      <c r="C56" s="8">
        <v>3</v>
      </c>
      <c r="D56" s="9">
        <v>41.97</v>
      </c>
      <c r="E56" s="8" t="s">
        <v>4009</v>
      </c>
      <c r="F56" s="7" t="s">
        <v>3452</v>
      </c>
      <c r="G56" s="10"/>
      <c r="H56" s="7" t="s">
        <v>3526</v>
      </c>
      <c r="I56" s="7" t="s">
        <v>4010</v>
      </c>
      <c r="J56" s="7" t="s">
        <v>3358</v>
      </c>
      <c r="K56" s="7" t="s">
        <v>4011</v>
      </c>
      <c r="L56" s="11" t="str">
        <f>HYPERLINK("http://slimages.macys.com/is/image/MCY/10683271 ")</f>
        <v xml:space="preserve">http://slimages.macys.com/is/image/MCY/10683271 </v>
      </c>
    </row>
    <row r="57" spans="1:12" ht="39.950000000000003" customHeight="1" x14ac:dyDescent="0.25">
      <c r="A57" s="6" t="s">
        <v>4012</v>
      </c>
      <c r="B57" s="7" t="s">
        <v>4013</v>
      </c>
      <c r="C57" s="8">
        <v>2</v>
      </c>
      <c r="D57" s="9">
        <v>59.98</v>
      </c>
      <c r="E57" s="8" t="s">
        <v>4014</v>
      </c>
      <c r="F57" s="7" t="s">
        <v>3384</v>
      </c>
      <c r="G57" s="10"/>
      <c r="H57" s="7" t="s">
        <v>3408</v>
      </c>
      <c r="I57" s="7" t="s">
        <v>3409</v>
      </c>
      <c r="J57" s="7" t="s">
        <v>3358</v>
      </c>
      <c r="K57" s="7"/>
      <c r="L57" s="11" t="str">
        <f>HYPERLINK("http://slimages.macys.com/is/image/MCY/15912144 ")</f>
        <v xml:space="preserve">http://slimages.macys.com/is/image/MCY/15912144 </v>
      </c>
    </row>
    <row r="58" spans="1:12" ht="39.950000000000003" customHeight="1" x14ac:dyDescent="0.25">
      <c r="A58" s="6" t="s">
        <v>4015</v>
      </c>
      <c r="B58" s="7" t="s">
        <v>4016</v>
      </c>
      <c r="C58" s="8">
        <v>1</v>
      </c>
      <c r="D58" s="9">
        <v>19.989999999999998</v>
      </c>
      <c r="E58" s="8">
        <v>100071550</v>
      </c>
      <c r="F58" s="7" t="s">
        <v>3525</v>
      </c>
      <c r="G58" s="10"/>
      <c r="H58" s="7" t="s">
        <v>3454</v>
      </c>
      <c r="I58" s="7" t="s">
        <v>4017</v>
      </c>
      <c r="J58" s="7" t="s">
        <v>3751</v>
      </c>
      <c r="K58" s="7" t="s">
        <v>3390</v>
      </c>
      <c r="L58" s="11" t="str">
        <f>HYPERLINK("http://slimages.macys.com/is/image/MCY/16143901 ")</f>
        <v xml:space="preserve">http://slimages.macys.com/is/image/MCY/16143901 </v>
      </c>
    </row>
    <row r="59" spans="1:12" ht="39.950000000000003" customHeight="1" x14ac:dyDescent="0.25">
      <c r="A59" s="6" t="s">
        <v>4018</v>
      </c>
      <c r="B59" s="7" t="s">
        <v>4019</v>
      </c>
      <c r="C59" s="8">
        <v>1</v>
      </c>
      <c r="D59" s="9">
        <v>14.99</v>
      </c>
      <c r="E59" s="8" t="s">
        <v>4020</v>
      </c>
      <c r="F59" s="7" t="s">
        <v>4021</v>
      </c>
      <c r="G59" s="10"/>
      <c r="H59" s="7" t="s">
        <v>3412</v>
      </c>
      <c r="I59" s="7" t="s">
        <v>3436</v>
      </c>
      <c r="J59" s="7" t="s">
        <v>3358</v>
      </c>
      <c r="K59" s="7" t="s">
        <v>3390</v>
      </c>
      <c r="L59" s="11" t="str">
        <f>HYPERLINK("http://slimages.macys.com/is/image/MCY/10073928 ")</f>
        <v xml:space="preserve">http://slimages.macys.com/is/image/MCY/10073928 </v>
      </c>
    </row>
    <row r="60" spans="1:12" ht="39.950000000000003" customHeight="1" x14ac:dyDescent="0.25">
      <c r="A60" s="6" t="s">
        <v>4022</v>
      </c>
      <c r="B60" s="7" t="s">
        <v>4023</v>
      </c>
      <c r="C60" s="8">
        <v>1</v>
      </c>
      <c r="D60" s="9">
        <v>14.99</v>
      </c>
      <c r="E60" s="8" t="s">
        <v>4024</v>
      </c>
      <c r="F60" s="7"/>
      <c r="G60" s="10"/>
      <c r="H60" s="7" t="s">
        <v>3412</v>
      </c>
      <c r="I60" s="7" t="s">
        <v>3969</v>
      </c>
      <c r="J60" s="7"/>
      <c r="K60" s="7"/>
      <c r="L60" s="11" t="str">
        <f>HYPERLINK("http://slimages.macys.com/is/image/MCY/17682946 ")</f>
        <v xml:space="preserve">http://slimages.macys.com/is/image/MCY/17682946 </v>
      </c>
    </row>
    <row r="61" spans="1:12" ht="39.950000000000003" customHeight="1" x14ac:dyDescent="0.25">
      <c r="A61" s="6" t="s">
        <v>3540</v>
      </c>
      <c r="B61" s="7" t="s">
        <v>3541</v>
      </c>
      <c r="C61" s="8">
        <v>7</v>
      </c>
      <c r="D61" s="9">
        <v>280</v>
      </c>
      <c r="E61" s="8"/>
      <c r="F61" s="7" t="s">
        <v>3542</v>
      </c>
      <c r="G61" s="10" t="s">
        <v>3504</v>
      </c>
      <c r="H61" s="7" t="s">
        <v>3543</v>
      </c>
      <c r="I61" s="7" t="s">
        <v>3544</v>
      </c>
      <c r="J61" s="7"/>
      <c r="K61" s="7"/>
      <c r="L61" s="11"/>
    </row>
  </sheetData>
  <phoneticPr fontId="0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5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4025</v>
      </c>
      <c r="B2" s="7" t="s">
        <v>4026</v>
      </c>
      <c r="C2" s="8">
        <v>1</v>
      </c>
      <c r="D2" s="9">
        <v>299.99</v>
      </c>
      <c r="E2" s="8" t="s">
        <v>4027</v>
      </c>
      <c r="F2" s="7" t="s">
        <v>3452</v>
      </c>
      <c r="G2" s="10"/>
      <c r="H2" s="7" t="s">
        <v>3876</v>
      </c>
      <c r="I2" s="7" t="s">
        <v>3894</v>
      </c>
      <c r="J2" s="7" t="s">
        <v>3358</v>
      </c>
      <c r="K2" s="7" t="s">
        <v>3506</v>
      </c>
      <c r="L2" s="11" t="str">
        <f>HYPERLINK("http://slimages.macys.com/is/image/MCY/12891086 ")</f>
        <v xml:space="preserve">http://slimages.macys.com/is/image/MCY/12891086 </v>
      </c>
    </row>
    <row r="3" spans="1:12" ht="39.950000000000003" customHeight="1" x14ac:dyDescent="0.25">
      <c r="A3" s="6" t="s">
        <v>4028</v>
      </c>
      <c r="B3" s="7" t="s">
        <v>4029</v>
      </c>
      <c r="C3" s="8">
        <v>1</v>
      </c>
      <c r="D3" s="9">
        <v>249.99</v>
      </c>
      <c r="E3" s="8" t="s">
        <v>4030</v>
      </c>
      <c r="F3" s="7" t="s">
        <v>3363</v>
      </c>
      <c r="G3" s="10"/>
      <c r="H3" s="7" t="s">
        <v>3876</v>
      </c>
      <c r="I3" s="7" t="s">
        <v>3894</v>
      </c>
      <c r="J3" s="7" t="s">
        <v>3358</v>
      </c>
      <c r="K3" s="7" t="s">
        <v>4031</v>
      </c>
      <c r="L3" s="11" t="str">
        <f>HYPERLINK("http://slimages.macys.com/is/image/MCY/2567151 ")</f>
        <v xml:space="preserve">http://slimages.macys.com/is/image/MCY/2567151 </v>
      </c>
    </row>
    <row r="4" spans="1:12" ht="39.950000000000003" customHeight="1" x14ac:dyDescent="0.25">
      <c r="A4" s="6" t="s">
        <v>4032</v>
      </c>
      <c r="B4" s="7" t="s">
        <v>4033</v>
      </c>
      <c r="C4" s="8">
        <v>1</v>
      </c>
      <c r="D4" s="9">
        <v>179.99</v>
      </c>
      <c r="E4" s="8" t="s">
        <v>4034</v>
      </c>
      <c r="F4" s="7" t="s">
        <v>3363</v>
      </c>
      <c r="G4" s="10"/>
      <c r="H4" s="7" t="s">
        <v>4035</v>
      </c>
      <c r="I4" s="7" t="s">
        <v>4036</v>
      </c>
      <c r="J4" s="7" t="s">
        <v>3358</v>
      </c>
      <c r="K4" s="7" t="s">
        <v>4037</v>
      </c>
      <c r="L4" s="11" t="str">
        <f>HYPERLINK("http://slimages.macys.com/is/image/MCY/11283361 ")</f>
        <v xml:space="preserve">http://slimages.macys.com/is/image/MCY/11283361 </v>
      </c>
    </row>
    <row r="5" spans="1:12" ht="39.950000000000003" customHeight="1" x14ac:dyDescent="0.25">
      <c r="A5" s="6" t="s">
        <v>4038</v>
      </c>
      <c r="B5" s="7" t="s">
        <v>4039</v>
      </c>
      <c r="C5" s="8">
        <v>2</v>
      </c>
      <c r="D5" s="9">
        <v>379.98</v>
      </c>
      <c r="E5" s="8" t="s">
        <v>4040</v>
      </c>
      <c r="F5" s="7" t="s">
        <v>3363</v>
      </c>
      <c r="G5" s="10"/>
      <c r="H5" s="7" t="s">
        <v>3471</v>
      </c>
      <c r="I5" s="7" t="s">
        <v>3548</v>
      </c>
      <c r="J5" s="7" t="s">
        <v>3358</v>
      </c>
      <c r="K5" s="7" t="s">
        <v>4041</v>
      </c>
      <c r="L5" s="11" t="str">
        <f>HYPERLINK("http://slimages.macys.com/is/image/MCY/3962581 ")</f>
        <v xml:space="preserve">http://slimages.macys.com/is/image/MCY/3962581 </v>
      </c>
    </row>
    <row r="6" spans="1:12" ht="39.950000000000003" customHeight="1" x14ac:dyDescent="0.25">
      <c r="A6" s="6" t="s">
        <v>4042</v>
      </c>
      <c r="B6" s="7" t="s">
        <v>4043</v>
      </c>
      <c r="C6" s="8">
        <v>1</v>
      </c>
      <c r="D6" s="9">
        <v>139.99</v>
      </c>
      <c r="E6" s="8" t="s">
        <v>4044</v>
      </c>
      <c r="F6" s="7" t="s">
        <v>3384</v>
      </c>
      <c r="G6" s="10"/>
      <c r="H6" s="7" t="s">
        <v>3397</v>
      </c>
      <c r="I6" s="7" t="s">
        <v>4045</v>
      </c>
      <c r="J6" s="7" t="s">
        <v>3358</v>
      </c>
      <c r="K6" s="7"/>
      <c r="L6" s="11" t="str">
        <f>HYPERLINK("http://slimages.macys.com/is/image/MCY/8399971 ")</f>
        <v xml:space="preserve">http://slimages.macys.com/is/image/MCY/8399971 </v>
      </c>
    </row>
    <row r="7" spans="1:12" ht="39.950000000000003" customHeight="1" x14ac:dyDescent="0.25">
      <c r="A7" s="6" t="s">
        <v>4046</v>
      </c>
      <c r="B7" s="7" t="s">
        <v>4047</v>
      </c>
      <c r="C7" s="8">
        <v>1</v>
      </c>
      <c r="D7" s="9">
        <v>99.99</v>
      </c>
      <c r="E7" s="8" t="s">
        <v>4048</v>
      </c>
      <c r="F7" s="7" t="s">
        <v>4049</v>
      </c>
      <c r="G7" s="10"/>
      <c r="H7" s="7" t="s">
        <v>3427</v>
      </c>
      <c r="I7" s="7" t="s">
        <v>3697</v>
      </c>
      <c r="J7" s="7" t="s">
        <v>3358</v>
      </c>
      <c r="K7" s="7" t="s">
        <v>3521</v>
      </c>
      <c r="L7" s="11" t="str">
        <f>HYPERLINK("http://slimages.macys.com/is/image/MCY/9705263 ")</f>
        <v xml:space="preserve">http://slimages.macys.com/is/image/MCY/9705263 </v>
      </c>
    </row>
    <row r="8" spans="1:12" ht="39.950000000000003" customHeight="1" x14ac:dyDescent="0.25">
      <c r="A8" s="6" t="s">
        <v>4050</v>
      </c>
      <c r="B8" s="7" t="s">
        <v>4051</v>
      </c>
      <c r="C8" s="8">
        <v>1</v>
      </c>
      <c r="D8" s="9">
        <v>110.99</v>
      </c>
      <c r="E8" s="8" t="s">
        <v>4052</v>
      </c>
      <c r="F8" s="7" t="s">
        <v>3477</v>
      </c>
      <c r="G8" s="10"/>
      <c r="H8" s="7" t="s">
        <v>3492</v>
      </c>
      <c r="I8" s="7" t="s">
        <v>3436</v>
      </c>
      <c r="J8" s="7" t="s">
        <v>3358</v>
      </c>
      <c r="K8" s="7" t="s">
        <v>4053</v>
      </c>
      <c r="L8" s="11" t="str">
        <f>HYPERLINK("http://slimages.macys.com/is/image/MCY/12290540 ")</f>
        <v xml:space="preserve">http://slimages.macys.com/is/image/MCY/12290540 </v>
      </c>
    </row>
    <row r="9" spans="1:12" ht="39.950000000000003" customHeight="1" x14ac:dyDescent="0.25">
      <c r="A9" s="6" t="s">
        <v>4054</v>
      </c>
      <c r="B9" s="7" t="s">
        <v>4055</v>
      </c>
      <c r="C9" s="8">
        <v>1</v>
      </c>
      <c r="D9" s="9">
        <v>117.99</v>
      </c>
      <c r="E9" s="8" t="s">
        <v>4056</v>
      </c>
      <c r="F9" s="7"/>
      <c r="G9" s="10"/>
      <c r="H9" s="7" t="s">
        <v>3412</v>
      </c>
      <c r="I9" s="7" t="s">
        <v>3969</v>
      </c>
      <c r="J9" s="7" t="s">
        <v>3358</v>
      </c>
      <c r="K9" s="7" t="s">
        <v>3506</v>
      </c>
      <c r="L9" s="11" t="str">
        <f>HYPERLINK("http://slimages.macys.com/is/image/MCY/11620380 ")</f>
        <v xml:space="preserve">http://slimages.macys.com/is/image/MCY/11620380 </v>
      </c>
    </row>
    <row r="10" spans="1:12" ht="39.950000000000003" customHeight="1" x14ac:dyDescent="0.25">
      <c r="A10" s="6" t="s">
        <v>4057</v>
      </c>
      <c r="B10" s="7" t="s">
        <v>4058</v>
      </c>
      <c r="C10" s="8">
        <v>1</v>
      </c>
      <c r="D10" s="9">
        <v>99.99</v>
      </c>
      <c r="E10" s="8" t="s">
        <v>4059</v>
      </c>
      <c r="F10" s="7" t="s">
        <v>3384</v>
      </c>
      <c r="G10" s="10"/>
      <c r="H10" s="7" t="s">
        <v>3408</v>
      </c>
      <c r="I10" s="7" t="s">
        <v>3409</v>
      </c>
      <c r="J10" s="7"/>
      <c r="K10" s="7"/>
      <c r="L10" s="11" t="str">
        <f>HYPERLINK("http://slimages.macys.com/is/image/MCY/17440187 ")</f>
        <v xml:space="preserve">http://slimages.macys.com/is/image/MCY/17440187 </v>
      </c>
    </row>
    <row r="11" spans="1:12" ht="39.950000000000003" customHeight="1" x14ac:dyDescent="0.25">
      <c r="A11" s="6" t="s">
        <v>4060</v>
      </c>
      <c r="B11" s="7" t="s">
        <v>4061</v>
      </c>
      <c r="C11" s="8">
        <v>2</v>
      </c>
      <c r="D11" s="9">
        <v>159.97999999999999</v>
      </c>
      <c r="E11" s="8">
        <v>70082</v>
      </c>
      <c r="F11" s="7" t="s">
        <v>3363</v>
      </c>
      <c r="G11" s="10" t="s">
        <v>3645</v>
      </c>
      <c r="H11" s="7" t="s">
        <v>3388</v>
      </c>
      <c r="I11" s="7" t="s">
        <v>3389</v>
      </c>
      <c r="J11" s="7" t="s">
        <v>3358</v>
      </c>
      <c r="K11" s="7" t="s">
        <v>4062</v>
      </c>
      <c r="L11" s="11" t="str">
        <f>HYPERLINK("http://slimages.macys.com/is/image/MCY/11443716 ")</f>
        <v xml:space="preserve">http://slimages.macys.com/is/image/MCY/11443716 </v>
      </c>
    </row>
    <row r="12" spans="1:12" ht="39.950000000000003" customHeight="1" x14ac:dyDescent="0.25">
      <c r="A12" s="6" t="s">
        <v>3420</v>
      </c>
      <c r="B12" s="7" t="s">
        <v>3421</v>
      </c>
      <c r="C12" s="8">
        <v>1</v>
      </c>
      <c r="D12" s="9">
        <v>44.99</v>
      </c>
      <c r="E12" s="8">
        <v>4402</v>
      </c>
      <c r="F12" s="7" t="s">
        <v>3363</v>
      </c>
      <c r="G12" s="10"/>
      <c r="H12" s="7" t="s">
        <v>3422</v>
      </c>
      <c r="I12" s="7" t="s">
        <v>3423</v>
      </c>
      <c r="J12" s="7" t="s">
        <v>3358</v>
      </c>
      <c r="K12" s="7"/>
      <c r="L12" s="11" t="str">
        <f>HYPERLINK("http://slimages.macys.com/is/image/MCY/9873929 ")</f>
        <v xml:space="preserve">http://slimages.macys.com/is/image/MCY/9873929 </v>
      </c>
    </row>
    <row r="13" spans="1:12" ht="39.950000000000003" customHeight="1" x14ac:dyDescent="0.25">
      <c r="A13" s="6" t="s">
        <v>4063</v>
      </c>
      <c r="B13" s="7" t="s">
        <v>4064</v>
      </c>
      <c r="C13" s="8">
        <v>1</v>
      </c>
      <c r="D13" s="9">
        <v>89.99</v>
      </c>
      <c r="E13" s="8">
        <v>10004108400</v>
      </c>
      <c r="F13" s="7" t="s">
        <v>3673</v>
      </c>
      <c r="G13" s="10" t="s">
        <v>3947</v>
      </c>
      <c r="H13" s="7" t="s">
        <v>3365</v>
      </c>
      <c r="I13" s="7" t="s">
        <v>3554</v>
      </c>
      <c r="J13" s="7" t="s">
        <v>3358</v>
      </c>
      <c r="K13" s="7"/>
      <c r="L13" s="11" t="str">
        <f>HYPERLINK("http://slimages.macys.com/is/image/MCY/10467370 ")</f>
        <v xml:space="preserve">http://slimages.macys.com/is/image/MCY/10467370 </v>
      </c>
    </row>
    <row r="14" spans="1:12" ht="39.950000000000003" customHeight="1" x14ac:dyDescent="0.25">
      <c r="A14" s="6" t="s">
        <v>4065</v>
      </c>
      <c r="B14" s="7" t="s">
        <v>4066</v>
      </c>
      <c r="C14" s="8">
        <v>1</v>
      </c>
      <c r="D14" s="9">
        <v>69.989999999999995</v>
      </c>
      <c r="E14" s="8" t="s">
        <v>4067</v>
      </c>
      <c r="F14" s="7" t="s">
        <v>3384</v>
      </c>
      <c r="G14" s="10"/>
      <c r="H14" s="7" t="s">
        <v>3397</v>
      </c>
      <c r="I14" s="7" t="s">
        <v>3590</v>
      </c>
      <c r="J14" s="7" t="s">
        <v>3358</v>
      </c>
      <c r="K14" s="7" t="s">
        <v>3582</v>
      </c>
      <c r="L14" s="11" t="str">
        <f>HYPERLINK("http://slimages.macys.com/is/image/MCY/9248696 ")</f>
        <v xml:space="preserve">http://slimages.macys.com/is/image/MCY/9248696 </v>
      </c>
    </row>
    <row r="15" spans="1:12" ht="39.950000000000003" customHeight="1" x14ac:dyDescent="0.25">
      <c r="A15" s="6" t="s">
        <v>4068</v>
      </c>
      <c r="B15" s="7" t="s">
        <v>4069</v>
      </c>
      <c r="C15" s="8">
        <v>1</v>
      </c>
      <c r="D15" s="9">
        <v>99.99</v>
      </c>
      <c r="E15" s="8" t="s">
        <v>4070</v>
      </c>
      <c r="F15" s="7" t="s">
        <v>3498</v>
      </c>
      <c r="G15" s="10"/>
      <c r="H15" s="7" t="s">
        <v>3365</v>
      </c>
      <c r="I15" s="7" t="s">
        <v>3366</v>
      </c>
      <c r="J15" s="7" t="s">
        <v>3358</v>
      </c>
      <c r="K15" s="7" t="s">
        <v>3582</v>
      </c>
      <c r="L15" s="11" t="str">
        <f>HYPERLINK("http://slimages.macys.com/is/image/MCY/8152581 ")</f>
        <v xml:space="preserve">http://slimages.macys.com/is/image/MCY/8152581 </v>
      </c>
    </row>
    <row r="16" spans="1:12" ht="39.950000000000003" customHeight="1" x14ac:dyDescent="0.25">
      <c r="A16" s="6" t="s">
        <v>4071</v>
      </c>
      <c r="B16" s="7" t="s">
        <v>4072</v>
      </c>
      <c r="C16" s="8">
        <v>3</v>
      </c>
      <c r="D16" s="9">
        <v>194.97</v>
      </c>
      <c r="E16" s="8" t="s">
        <v>4073</v>
      </c>
      <c r="F16" s="7" t="s">
        <v>3363</v>
      </c>
      <c r="G16" s="10"/>
      <c r="H16" s="7" t="s">
        <v>3471</v>
      </c>
      <c r="I16" s="7" t="s">
        <v>3378</v>
      </c>
      <c r="J16" s="7" t="s">
        <v>3379</v>
      </c>
      <c r="K16" s="7" t="s">
        <v>4074</v>
      </c>
      <c r="L16" s="11" t="str">
        <f>HYPERLINK("http://slimages.macys.com/is/image/MCY/8589816 ")</f>
        <v xml:space="preserve">http://slimages.macys.com/is/image/MCY/8589816 </v>
      </c>
    </row>
    <row r="17" spans="1:12" ht="39.950000000000003" customHeight="1" x14ac:dyDescent="0.25">
      <c r="A17" s="6" t="s">
        <v>4075</v>
      </c>
      <c r="B17" s="7" t="s">
        <v>4076</v>
      </c>
      <c r="C17" s="8">
        <v>1</v>
      </c>
      <c r="D17" s="9">
        <v>73.989999999999995</v>
      </c>
      <c r="E17" s="8" t="s">
        <v>4077</v>
      </c>
      <c r="F17" s="7" t="s">
        <v>3781</v>
      </c>
      <c r="G17" s="10"/>
      <c r="H17" s="7" t="s">
        <v>3412</v>
      </c>
      <c r="I17" s="7" t="s">
        <v>3510</v>
      </c>
      <c r="J17" s="7" t="s">
        <v>3358</v>
      </c>
      <c r="K17" s="7" t="s">
        <v>4078</v>
      </c>
      <c r="L17" s="11" t="str">
        <f>HYPERLINK("http://slimages.macys.com/is/image/MCY/10005667 ")</f>
        <v xml:space="preserve">http://slimages.macys.com/is/image/MCY/10005667 </v>
      </c>
    </row>
    <row r="18" spans="1:12" ht="39.950000000000003" customHeight="1" x14ac:dyDescent="0.25">
      <c r="A18" s="6" t="s">
        <v>4079</v>
      </c>
      <c r="B18" s="7" t="s">
        <v>4080</v>
      </c>
      <c r="C18" s="8">
        <v>1</v>
      </c>
      <c r="D18" s="9">
        <v>59.99</v>
      </c>
      <c r="E18" s="8">
        <v>82257</v>
      </c>
      <c r="F18" s="7" t="s">
        <v>3481</v>
      </c>
      <c r="G18" s="10"/>
      <c r="H18" s="7" t="s">
        <v>3412</v>
      </c>
      <c r="I18" s="7" t="s">
        <v>3595</v>
      </c>
      <c r="J18" s="7" t="s">
        <v>3358</v>
      </c>
      <c r="K18" s="7" t="s">
        <v>4081</v>
      </c>
      <c r="L18" s="11" t="str">
        <f>HYPERLINK("http://slimages.macys.com/is/image/MCY/16522516 ")</f>
        <v xml:space="preserve">http://slimages.macys.com/is/image/MCY/16522516 </v>
      </c>
    </row>
    <row r="19" spans="1:12" ht="39.950000000000003" customHeight="1" x14ac:dyDescent="0.25">
      <c r="A19" s="6" t="s">
        <v>4082</v>
      </c>
      <c r="B19" s="7" t="s">
        <v>4083</v>
      </c>
      <c r="C19" s="8">
        <v>1</v>
      </c>
      <c r="D19" s="9">
        <v>62.99</v>
      </c>
      <c r="E19" s="8" t="s">
        <v>4084</v>
      </c>
      <c r="F19" s="7" t="s">
        <v>3363</v>
      </c>
      <c r="G19" s="10" t="s">
        <v>4085</v>
      </c>
      <c r="H19" s="7" t="s">
        <v>3388</v>
      </c>
      <c r="I19" s="7" t="s">
        <v>3664</v>
      </c>
      <c r="J19" s="7" t="s">
        <v>3358</v>
      </c>
      <c r="K19" s="7" t="s">
        <v>3506</v>
      </c>
      <c r="L19" s="11" t="str">
        <f>HYPERLINK("http://slimages.macys.com/is/image/MCY/11798760 ")</f>
        <v xml:space="preserve">http://slimages.macys.com/is/image/MCY/11798760 </v>
      </c>
    </row>
    <row r="20" spans="1:12" ht="39.950000000000003" customHeight="1" x14ac:dyDescent="0.25">
      <c r="A20" s="6" t="s">
        <v>4086</v>
      </c>
      <c r="B20" s="7" t="s">
        <v>4087</v>
      </c>
      <c r="C20" s="8">
        <v>1</v>
      </c>
      <c r="D20" s="9">
        <v>89.99</v>
      </c>
      <c r="E20" s="8">
        <v>10008180500</v>
      </c>
      <c r="F20" s="7" t="s">
        <v>3363</v>
      </c>
      <c r="G20" s="10"/>
      <c r="H20" s="7" t="s">
        <v>3365</v>
      </c>
      <c r="I20" s="7" t="s">
        <v>3554</v>
      </c>
      <c r="J20" s="7" t="s">
        <v>3358</v>
      </c>
      <c r="K20" s="7" t="s">
        <v>4088</v>
      </c>
      <c r="L20" s="11" t="str">
        <f>HYPERLINK("http://slimages.macys.com/is/image/MCY/16381657 ")</f>
        <v xml:space="preserve">http://slimages.macys.com/is/image/MCY/16381657 </v>
      </c>
    </row>
    <row r="21" spans="1:12" ht="39.950000000000003" customHeight="1" x14ac:dyDescent="0.25">
      <c r="A21" s="6" t="s">
        <v>4089</v>
      </c>
      <c r="B21" s="7" t="s">
        <v>4090</v>
      </c>
      <c r="C21" s="8">
        <v>1</v>
      </c>
      <c r="D21" s="9">
        <v>55.99</v>
      </c>
      <c r="E21" s="8">
        <v>2695</v>
      </c>
      <c r="F21" s="7" t="s">
        <v>3781</v>
      </c>
      <c r="G21" s="10"/>
      <c r="H21" s="7" t="s">
        <v>3372</v>
      </c>
      <c r="I21" s="7" t="s">
        <v>4091</v>
      </c>
      <c r="J21" s="7" t="s">
        <v>3358</v>
      </c>
      <c r="K21" s="7" t="s">
        <v>4092</v>
      </c>
      <c r="L21" s="11" t="str">
        <f>HYPERLINK("http://slimages.macys.com/is/image/MCY/13917919 ")</f>
        <v xml:space="preserve">http://slimages.macys.com/is/image/MCY/13917919 </v>
      </c>
    </row>
    <row r="22" spans="1:12" ht="39.950000000000003" customHeight="1" x14ac:dyDescent="0.25">
      <c r="A22" s="6" t="s">
        <v>4093</v>
      </c>
      <c r="B22" s="7" t="s">
        <v>4094</v>
      </c>
      <c r="C22" s="8">
        <v>3</v>
      </c>
      <c r="D22" s="9">
        <v>239.97</v>
      </c>
      <c r="E22" s="8" t="s">
        <v>4095</v>
      </c>
      <c r="F22" s="7" t="s">
        <v>3363</v>
      </c>
      <c r="G22" s="10"/>
      <c r="H22" s="7" t="s">
        <v>3365</v>
      </c>
      <c r="I22" s="7" t="s">
        <v>3554</v>
      </c>
      <c r="J22" s="7" t="s">
        <v>3358</v>
      </c>
      <c r="K22" s="7"/>
      <c r="L22" s="11" t="str">
        <f>HYPERLINK("http://slimages.macys.com/is/image/MCY/8735473 ")</f>
        <v xml:space="preserve">http://slimages.macys.com/is/image/MCY/8735473 </v>
      </c>
    </row>
    <row r="23" spans="1:12" ht="39.950000000000003" customHeight="1" x14ac:dyDescent="0.25">
      <c r="A23" s="6" t="s">
        <v>4096</v>
      </c>
      <c r="B23" s="7" t="s">
        <v>4097</v>
      </c>
      <c r="C23" s="8">
        <v>1</v>
      </c>
      <c r="D23" s="9">
        <v>49.99</v>
      </c>
      <c r="E23" s="8">
        <v>19572329</v>
      </c>
      <c r="F23" s="7" t="s">
        <v>3477</v>
      </c>
      <c r="G23" s="10"/>
      <c r="H23" s="7" t="s">
        <v>3412</v>
      </c>
      <c r="I23" s="7" t="s">
        <v>3413</v>
      </c>
      <c r="J23" s="7" t="s">
        <v>3751</v>
      </c>
      <c r="K23" s="7" t="s">
        <v>4098</v>
      </c>
      <c r="L23" s="11" t="str">
        <f>HYPERLINK("http://slimages.macys.com/is/image/MCY/10622355 ")</f>
        <v xml:space="preserve">http://slimages.macys.com/is/image/MCY/10622355 </v>
      </c>
    </row>
    <row r="24" spans="1:12" ht="39.950000000000003" customHeight="1" x14ac:dyDescent="0.25">
      <c r="A24" s="6" t="s">
        <v>4099</v>
      </c>
      <c r="B24" s="7" t="s">
        <v>4100</v>
      </c>
      <c r="C24" s="8">
        <v>1</v>
      </c>
      <c r="D24" s="9">
        <v>89.99</v>
      </c>
      <c r="E24" s="8" t="s">
        <v>4101</v>
      </c>
      <c r="F24" s="7" t="s">
        <v>3363</v>
      </c>
      <c r="G24" s="10"/>
      <c r="H24" s="7" t="s">
        <v>3365</v>
      </c>
      <c r="I24" s="7" t="s">
        <v>3558</v>
      </c>
      <c r="J24" s="7" t="s">
        <v>3358</v>
      </c>
      <c r="K24" s="7"/>
      <c r="L24" s="11" t="str">
        <f>HYPERLINK("http://slimages.macys.com/is/image/MCY/13049238 ")</f>
        <v xml:space="preserve">http://slimages.macys.com/is/image/MCY/13049238 </v>
      </c>
    </row>
    <row r="25" spans="1:12" ht="39.950000000000003" customHeight="1" x14ac:dyDescent="0.25">
      <c r="A25" s="6" t="s">
        <v>4102</v>
      </c>
      <c r="B25" s="7" t="s">
        <v>4103</v>
      </c>
      <c r="C25" s="8">
        <v>1</v>
      </c>
      <c r="D25" s="9">
        <v>84.99</v>
      </c>
      <c r="E25" s="8" t="s">
        <v>4104</v>
      </c>
      <c r="F25" s="7" t="s">
        <v>3498</v>
      </c>
      <c r="G25" s="10" t="s">
        <v>3645</v>
      </c>
      <c r="H25" s="7" t="s">
        <v>3471</v>
      </c>
      <c r="I25" s="7" t="s">
        <v>3548</v>
      </c>
      <c r="J25" s="7" t="s">
        <v>3358</v>
      </c>
      <c r="K25" s="7" t="s">
        <v>4105</v>
      </c>
      <c r="L25" s="11" t="str">
        <f>HYPERLINK("http://slimages.macys.com/is/image/MCY/13121058 ")</f>
        <v xml:space="preserve">http://slimages.macys.com/is/image/MCY/13121058 </v>
      </c>
    </row>
    <row r="26" spans="1:12" ht="39.950000000000003" customHeight="1" x14ac:dyDescent="0.25">
      <c r="A26" s="6" t="s">
        <v>4106</v>
      </c>
      <c r="B26" s="7" t="s">
        <v>4107</v>
      </c>
      <c r="C26" s="8">
        <v>1</v>
      </c>
      <c r="D26" s="9">
        <v>49.99</v>
      </c>
      <c r="E26" s="8" t="s">
        <v>4108</v>
      </c>
      <c r="F26" s="7"/>
      <c r="G26" s="10"/>
      <c r="H26" s="7" t="s">
        <v>3412</v>
      </c>
      <c r="I26" s="7" t="s">
        <v>3510</v>
      </c>
      <c r="J26" s="7"/>
      <c r="K26" s="7"/>
      <c r="L26" s="11" t="str">
        <f>HYPERLINK("http://slimages.macys.com/is/image/MCY/17258396 ")</f>
        <v xml:space="preserve">http://slimages.macys.com/is/image/MCY/17258396 </v>
      </c>
    </row>
    <row r="27" spans="1:12" ht="39.950000000000003" customHeight="1" x14ac:dyDescent="0.25">
      <c r="A27" s="6" t="s">
        <v>4109</v>
      </c>
      <c r="B27" s="7" t="s">
        <v>4110</v>
      </c>
      <c r="C27" s="8">
        <v>1</v>
      </c>
      <c r="D27" s="9">
        <v>39.99</v>
      </c>
      <c r="E27" s="8" t="s">
        <v>4111</v>
      </c>
      <c r="F27" s="7" t="s">
        <v>4112</v>
      </c>
      <c r="G27" s="10"/>
      <c r="H27" s="7" t="s">
        <v>3526</v>
      </c>
      <c r="I27" s="7" t="s">
        <v>4113</v>
      </c>
      <c r="J27" s="7" t="s">
        <v>3358</v>
      </c>
      <c r="K27" s="7" t="s">
        <v>3521</v>
      </c>
      <c r="L27" s="11" t="str">
        <f>HYPERLINK("http://slimages.macys.com/is/image/MCY/12056312 ")</f>
        <v xml:space="preserve">http://slimages.macys.com/is/image/MCY/12056312 </v>
      </c>
    </row>
    <row r="28" spans="1:12" ht="39.950000000000003" customHeight="1" x14ac:dyDescent="0.25">
      <c r="A28" s="6" t="s">
        <v>4114</v>
      </c>
      <c r="B28" s="7" t="s">
        <v>4115</v>
      </c>
      <c r="C28" s="8">
        <v>1</v>
      </c>
      <c r="D28" s="9">
        <v>69.989999999999995</v>
      </c>
      <c r="E28" s="8" t="s">
        <v>4116</v>
      </c>
      <c r="F28" s="7" t="s">
        <v>3363</v>
      </c>
      <c r="G28" s="10"/>
      <c r="H28" s="7" t="s">
        <v>3365</v>
      </c>
      <c r="I28" s="7" t="s">
        <v>3554</v>
      </c>
      <c r="J28" s="7" t="s">
        <v>3358</v>
      </c>
      <c r="K28" s="7"/>
      <c r="L28" s="11" t="str">
        <f>HYPERLINK("http://slimages.macys.com/is/image/MCY/13118032 ")</f>
        <v xml:space="preserve">http://slimages.macys.com/is/image/MCY/13118032 </v>
      </c>
    </row>
    <row r="29" spans="1:12" ht="39.950000000000003" customHeight="1" x14ac:dyDescent="0.25">
      <c r="A29" s="6" t="s">
        <v>4117</v>
      </c>
      <c r="B29" s="7" t="s">
        <v>4118</v>
      </c>
      <c r="C29" s="8">
        <v>1</v>
      </c>
      <c r="D29" s="9">
        <v>39.99</v>
      </c>
      <c r="E29" s="8" t="s">
        <v>4119</v>
      </c>
      <c r="F29" s="7" t="s">
        <v>3384</v>
      </c>
      <c r="G29" s="10"/>
      <c r="H29" s="7" t="s">
        <v>3397</v>
      </c>
      <c r="I29" s="7" t="s">
        <v>3590</v>
      </c>
      <c r="J29" s="7" t="s">
        <v>3358</v>
      </c>
      <c r="K29" s="7" t="s">
        <v>4120</v>
      </c>
      <c r="L29" s="11" t="str">
        <f>HYPERLINK("http://slimages.macys.com/is/image/MCY/8095477 ")</f>
        <v xml:space="preserve">http://slimages.macys.com/is/image/MCY/8095477 </v>
      </c>
    </row>
    <row r="30" spans="1:12" ht="39.950000000000003" customHeight="1" x14ac:dyDescent="0.25">
      <c r="A30" s="6" t="s">
        <v>4121</v>
      </c>
      <c r="B30" s="7" t="s">
        <v>4122</v>
      </c>
      <c r="C30" s="8">
        <v>1</v>
      </c>
      <c r="D30" s="9">
        <v>44.99</v>
      </c>
      <c r="E30" s="8" t="s">
        <v>4123</v>
      </c>
      <c r="F30" s="7" t="s">
        <v>3781</v>
      </c>
      <c r="G30" s="10"/>
      <c r="H30" s="7" t="s">
        <v>3412</v>
      </c>
      <c r="I30" s="7" t="s">
        <v>3510</v>
      </c>
      <c r="J30" s="7" t="s">
        <v>3358</v>
      </c>
      <c r="K30" s="7" t="s">
        <v>4124</v>
      </c>
      <c r="L30" s="11" t="str">
        <f>HYPERLINK("http://slimages.macys.com/is/image/MCY/10005660 ")</f>
        <v xml:space="preserve">http://slimages.macys.com/is/image/MCY/10005660 </v>
      </c>
    </row>
    <row r="31" spans="1:12" ht="39.950000000000003" customHeight="1" x14ac:dyDescent="0.25">
      <c r="A31" s="6" t="s">
        <v>4125</v>
      </c>
      <c r="B31" s="7" t="s">
        <v>4126</v>
      </c>
      <c r="C31" s="8">
        <v>1</v>
      </c>
      <c r="D31" s="9">
        <v>30.99</v>
      </c>
      <c r="E31" s="8" t="s">
        <v>4127</v>
      </c>
      <c r="F31" s="7" t="s">
        <v>3498</v>
      </c>
      <c r="G31" s="10"/>
      <c r="H31" s="7" t="s">
        <v>3526</v>
      </c>
      <c r="I31" s="7" t="s">
        <v>4128</v>
      </c>
      <c r="J31" s="7" t="s">
        <v>3358</v>
      </c>
      <c r="K31" s="7" t="s">
        <v>3390</v>
      </c>
      <c r="L31" s="11" t="str">
        <f>HYPERLINK("http://slimages.macys.com/is/image/MCY/15704613 ")</f>
        <v xml:space="preserve">http://slimages.macys.com/is/image/MCY/15704613 </v>
      </c>
    </row>
    <row r="32" spans="1:12" ht="39.950000000000003" customHeight="1" x14ac:dyDescent="0.25">
      <c r="A32" s="6" t="s">
        <v>4129</v>
      </c>
      <c r="B32" s="7" t="s">
        <v>4130</v>
      </c>
      <c r="C32" s="8">
        <v>1</v>
      </c>
      <c r="D32" s="9">
        <v>39.99</v>
      </c>
      <c r="E32" s="8" t="s">
        <v>4131</v>
      </c>
      <c r="F32" s="7" t="s">
        <v>3531</v>
      </c>
      <c r="G32" s="10" t="s">
        <v>3811</v>
      </c>
      <c r="H32" s="7" t="s">
        <v>3601</v>
      </c>
      <c r="I32" s="7" t="s">
        <v>3602</v>
      </c>
      <c r="J32" s="7" t="s">
        <v>3358</v>
      </c>
      <c r="K32" s="7"/>
      <c r="L32" s="11" t="str">
        <f>HYPERLINK("http://slimages.macys.com/is/image/MCY/8435667 ")</f>
        <v xml:space="preserve">http://slimages.macys.com/is/image/MCY/8435667 </v>
      </c>
    </row>
    <row r="33" spans="1:12" ht="39.950000000000003" customHeight="1" x14ac:dyDescent="0.25">
      <c r="A33" s="6" t="s">
        <v>4132</v>
      </c>
      <c r="B33" s="7" t="s">
        <v>4133</v>
      </c>
      <c r="C33" s="8">
        <v>2</v>
      </c>
      <c r="D33" s="9">
        <v>79.98</v>
      </c>
      <c r="E33" s="8">
        <v>130118</v>
      </c>
      <c r="F33" s="7" t="s">
        <v>3363</v>
      </c>
      <c r="G33" s="10"/>
      <c r="H33" s="7" t="s">
        <v>3422</v>
      </c>
      <c r="I33" s="7" t="s">
        <v>3423</v>
      </c>
      <c r="J33" s="7" t="s">
        <v>3358</v>
      </c>
      <c r="K33" s="7" t="s">
        <v>4134</v>
      </c>
      <c r="L33" s="11" t="str">
        <f>HYPERLINK("http://slimages.macys.com/is/image/MCY/3895749 ")</f>
        <v xml:space="preserve">http://slimages.macys.com/is/image/MCY/3895749 </v>
      </c>
    </row>
    <row r="34" spans="1:12" ht="39.950000000000003" customHeight="1" x14ac:dyDescent="0.25">
      <c r="A34" s="6" t="s">
        <v>4135</v>
      </c>
      <c r="B34" s="7" t="s">
        <v>4136</v>
      </c>
      <c r="C34" s="8">
        <v>1</v>
      </c>
      <c r="D34" s="9">
        <v>64.989999999999995</v>
      </c>
      <c r="E34" s="8" t="s">
        <v>4137</v>
      </c>
      <c r="F34" s="7" t="s">
        <v>3363</v>
      </c>
      <c r="G34" s="10"/>
      <c r="H34" s="7" t="s">
        <v>3365</v>
      </c>
      <c r="I34" s="7" t="s">
        <v>3366</v>
      </c>
      <c r="J34" s="7" t="s">
        <v>3358</v>
      </c>
      <c r="K34" s="7" t="s">
        <v>4138</v>
      </c>
      <c r="L34" s="11" t="str">
        <f>HYPERLINK("http://slimages.macys.com/is/image/MCY/8182285 ")</f>
        <v xml:space="preserve">http://slimages.macys.com/is/image/MCY/8182285 </v>
      </c>
    </row>
    <row r="35" spans="1:12" ht="39.950000000000003" customHeight="1" x14ac:dyDescent="0.25">
      <c r="A35" s="6" t="s">
        <v>4139</v>
      </c>
      <c r="B35" s="7" t="s">
        <v>4140</v>
      </c>
      <c r="C35" s="8">
        <v>1</v>
      </c>
      <c r="D35" s="9">
        <v>29.99</v>
      </c>
      <c r="E35" s="8" t="s">
        <v>4141</v>
      </c>
      <c r="F35" s="7" t="s">
        <v>3477</v>
      </c>
      <c r="G35" s="10"/>
      <c r="H35" s="7" t="s">
        <v>3412</v>
      </c>
      <c r="I35" s="7" t="s">
        <v>3413</v>
      </c>
      <c r="J35" s="7" t="s">
        <v>3358</v>
      </c>
      <c r="K35" s="7" t="s">
        <v>4098</v>
      </c>
      <c r="L35" s="11" t="str">
        <f>HYPERLINK("http://slimages.macys.com/is/image/MCY/9700679 ")</f>
        <v xml:space="preserve">http://slimages.macys.com/is/image/MCY/9700679 </v>
      </c>
    </row>
    <row r="36" spans="1:12" ht="39.950000000000003" customHeight="1" x14ac:dyDescent="0.25">
      <c r="A36" s="6" t="s">
        <v>4142</v>
      </c>
      <c r="B36" s="7" t="s">
        <v>4143</v>
      </c>
      <c r="C36" s="8">
        <v>1</v>
      </c>
      <c r="D36" s="9">
        <v>78.11</v>
      </c>
      <c r="E36" s="8" t="s">
        <v>4144</v>
      </c>
      <c r="F36" s="7"/>
      <c r="G36" s="10"/>
      <c r="H36" s="7" t="s">
        <v>3431</v>
      </c>
      <c r="I36" s="7" t="s">
        <v>3432</v>
      </c>
      <c r="J36" s="7" t="s">
        <v>3358</v>
      </c>
      <c r="K36" s="7" t="s">
        <v>3521</v>
      </c>
      <c r="L36" s="11" t="str">
        <f>HYPERLINK("http://slimages.macys.com/is/image/MCY/9356840 ")</f>
        <v xml:space="preserve">http://slimages.macys.com/is/image/MCY/9356840 </v>
      </c>
    </row>
    <row r="37" spans="1:12" ht="39.950000000000003" customHeight="1" x14ac:dyDescent="0.25">
      <c r="A37" s="6" t="s">
        <v>4145</v>
      </c>
      <c r="B37" s="7" t="s">
        <v>4146</v>
      </c>
      <c r="C37" s="8">
        <v>1</v>
      </c>
      <c r="D37" s="9">
        <v>29.99</v>
      </c>
      <c r="E37" s="8">
        <v>82261</v>
      </c>
      <c r="F37" s="7" t="s">
        <v>3781</v>
      </c>
      <c r="G37" s="10"/>
      <c r="H37" s="7" t="s">
        <v>3412</v>
      </c>
      <c r="I37" s="7" t="s">
        <v>3595</v>
      </c>
      <c r="J37" s="7"/>
      <c r="K37" s="7"/>
      <c r="L37" s="11" t="str">
        <f>HYPERLINK("http://slimages.macys.com/is/image/MCY/17863027 ")</f>
        <v xml:space="preserve">http://slimages.macys.com/is/image/MCY/17863027 </v>
      </c>
    </row>
    <row r="38" spans="1:12" ht="39.950000000000003" customHeight="1" x14ac:dyDescent="0.25">
      <c r="A38" s="6" t="s">
        <v>4147</v>
      </c>
      <c r="B38" s="7" t="s">
        <v>4148</v>
      </c>
      <c r="C38" s="8">
        <v>1</v>
      </c>
      <c r="D38" s="9">
        <v>22.99</v>
      </c>
      <c r="E38" s="8">
        <v>101941729</v>
      </c>
      <c r="F38" s="7" t="s">
        <v>3840</v>
      </c>
      <c r="G38" s="10"/>
      <c r="H38" s="7" t="s">
        <v>3515</v>
      </c>
      <c r="I38" s="7" t="s">
        <v>4149</v>
      </c>
      <c r="J38" s="7" t="s">
        <v>3358</v>
      </c>
      <c r="K38" s="7" t="s">
        <v>4150</v>
      </c>
      <c r="L38" s="11" t="str">
        <f>HYPERLINK("http://slimages.macys.com/is/image/MCY/12353771 ")</f>
        <v xml:space="preserve">http://slimages.macys.com/is/image/MCY/12353771 </v>
      </c>
    </row>
    <row r="39" spans="1:12" ht="39.950000000000003" customHeight="1" x14ac:dyDescent="0.25">
      <c r="A39" s="6" t="s">
        <v>4151</v>
      </c>
      <c r="B39" s="7" t="s">
        <v>4152</v>
      </c>
      <c r="C39" s="8">
        <v>1</v>
      </c>
      <c r="D39" s="9">
        <v>24.99</v>
      </c>
      <c r="E39" s="8" t="s">
        <v>4153</v>
      </c>
      <c r="F39" s="7" t="s">
        <v>3363</v>
      </c>
      <c r="G39" s="10" t="s">
        <v>3564</v>
      </c>
      <c r="H39" s="7" t="s">
        <v>3601</v>
      </c>
      <c r="I39" s="7" t="s">
        <v>3602</v>
      </c>
      <c r="J39" s="7" t="s">
        <v>3358</v>
      </c>
      <c r="K39" s="7"/>
      <c r="L39" s="11" t="str">
        <f>HYPERLINK("http://slimages.macys.com/is/image/MCY/8456177 ")</f>
        <v xml:space="preserve">http://slimages.macys.com/is/image/MCY/8456177 </v>
      </c>
    </row>
    <row r="40" spans="1:12" ht="39.950000000000003" customHeight="1" x14ac:dyDescent="0.25">
      <c r="A40" s="6" t="s">
        <v>4154</v>
      </c>
      <c r="B40" s="7" t="s">
        <v>4155</v>
      </c>
      <c r="C40" s="8">
        <v>1</v>
      </c>
      <c r="D40" s="9">
        <v>23.99</v>
      </c>
      <c r="E40" s="8" t="s">
        <v>4156</v>
      </c>
      <c r="F40" s="7" t="s">
        <v>3542</v>
      </c>
      <c r="G40" s="10" t="s">
        <v>3690</v>
      </c>
      <c r="H40" s="7" t="s">
        <v>3471</v>
      </c>
      <c r="I40" s="7" t="s">
        <v>3761</v>
      </c>
      <c r="J40" s="7" t="s">
        <v>3751</v>
      </c>
      <c r="K40" s="7"/>
      <c r="L40" s="11" t="str">
        <f>HYPERLINK("http://slimages.macys.com/is/image/MCY/9526176 ")</f>
        <v xml:space="preserve">http://slimages.macys.com/is/image/MCY/9526176 </v>
      </c>
    </row>
    <row r="41" spans="1:12" ht="39.950000000000003" customHeight="1" x14ac:dyDescent="0.25">
      <c r="A41" s="6" t="s">
        <v>4157</v>
      </c>
      <c r="B41" s="7" t="s">
        <v>4158</v>
      </c>
      <c r="C41" s="8">
        <v>1</v>
      </c>
      <c r="D41" s="9">
        <v>19.989999999999998</v>
      </c>
      <c r="E41" s="8" t="s">
        <v>4159</v>
      </c>
      <c r="F41" s="7"/>
      <c r="G41" s="10" t="s">
        <v>4160</v>
      </c>
      <c r="H41" s="7" t="s">
        <v>3515</v>
      </c>
      <c r="I41" s="7" t="s">
        <v>4161</v>
      </c>
      <c r="J41" s="7"/>
      <c r="K41" s="7"/>
      <c r="L41" s="11" t="str">
        <f>HYPERLINK("http://slimages.macys.com/is/image/MCY/17338595 ")</f>
        <v xml:space="preserve">http://slimages.macys.com/is/image/MCY/17338595 </v>
      </c>
    </row>
    <row r="42" spans="1:12" ht="39.950000000000003" customHeight="1" x14ac:dyDescent="0.25">
      <c r="A42" s="6" t="s">
        <v>4162</v>
      </c>
      <c r="B42" s="7" t="s">
        <v>4163</v>
      </c>
      <c r="C42" s="8">
        <v>1</v>
      </c>
      <c r="D42" s="9">
        <v>25.99</v>
      </c>
      <c r="E42" s="8" t="s">
        <v>4164</v>
      </c>
      <c r="F42" s="7"/>
      <c r="G42" s="10"/>
      <c r="H42" s="7" t="s">
        <v>4165</v>
      </c>
      <c r="I42" s="7" t="s">
        <v>4166</v>
      </c>
      <c r="J42" s="7" t="s">
        <v>3692</v>
      </c>
      <c r="K42" s="7" t="s">
        <v>4167</v>
      </c>
      <c r="L42" s="11" t="str">
        <f>HYPERLINK("http://slimages.macys.com/is/image/MCY/9898874 ")</f>
        <v xml:space="preserve">http://slimages.macys.com/is/image/MCY/9898874 </v>
      </c>
    </row>
    <row r="43" spans="1:12" ht="39.950000000000003" customHeight="1" x14ac:dyDescent="0.25">
      <c r="A43" s="6" t="s">
        <v>4168</v>
      </c>
      <c r="B43" s="7" t="s">
        <v>4169</v>
      </c>
      <c r="C43" s="8">
        <v>2</v>
      </c>
      <c r="D43" s="9">
        <v>33.979999999999997</v>
      </c>
      <c r="E43" s="8" t="s">
        <v>4170</v>
      </c>
      <c r="F43" s="7" t="s">
        <v>3363</v>
      </c>
      <c r="G43" s="10" t="s">
        <v>3645</v>
      </c>
      <c r="H43" s="7" t="s">
        <v>3471</v>
      </c>
      <c r="I43" s="7" t="s">
        <v>3378</v>
      </c>
      <c r="J43" s="7"/>
      <c r="K43" s="7"/>
      <c r="L43" s="11" t="str">
        <f>HYPERLINK("http://slimages.macys.com/is/image/MCY/17332471 ")</f>
        <v xml:space="preserve">http://slimages.macys.com/is/image/MCY/17332471 </v>
      </c>
    </row>
    <row r="44" spans="1:12" ht="39.950000000000003" customHeight="1" x14ac:dyDescent="0.25">
      <c r="A44" s="6" t="s">
        <v>4171</v>
      </c>
      <c r="B44" s="7" t="s">
        <v>4172</v>
      </c>
      <c r="C44" s="8">
        <v>1</v>
      </c>
      <c r="D44" s="9">
        <v>17.989999999999998</v>
      </c>
      <c r="E44" s="8" t="s">
        <v>3764</v>
      </c>
      <c r="F44" s="7" t="s">
        <v>4173</v>
      </c>
      <c r="G44" s="10"/>
      <c r="H44" s="7" t="s">
        <v>3492</v>
      </c>
      <c r="I44" s="7" t="s">
        <v>3636</v>
      </c>
      <c r="J44" s="7" t="s">
        <v>3358</v>
      </c>
      <c r="K44" s="7" t="s">
        <v>3390</v>
      </c>
      <c r="L44" s="11" t="str">
        <f>HYPERLINK("http://slimages.macys.com/is/image/MCY/12936375 ")</f>
        <v xml:space="preserve">http://slimages.macys.com/is/image/MCY/12936375 </v>
      </c>
    </row>
    <row r="45" spans="1:12" ht="39.950000000000003" customHeight="1" x14ac:dyDescent="0.25">
      <c r="A45" s="6" t="s">
        <v>4174</v>
      </c>
      <c r="B45" s="7" t="s">
        <v>4175</v>
      </c>
      <c r="C45" s="8">
        <v>1</v>
      </c>
      <c r="D45" s="9">
        <v>19.989999999999998</v>
      </c>
      <c r="E45" s="8">
        <v>58296</v>
      </c>
      <c r="F45" s="7"/>
      <c r="G45" s="10" t="s">
        <v>4160</v>
      </c>
      <c r="H45" s="7" t="s">
        <v>3515</v>
      </c>
      <c r="I45" s="7" t="s">
        <v>4176</v>
      </c>
      <c r="J45" s="7" t="s">
        <v>3358</v>
      </c>
      <c r="K45" s="7" t="s">
        <v>4177</v>
      </c>
      <c r="L45" s="11" t="str">
        <f>HYPERLINK("http://slimages.macys.com/is/image/MCY/11923884 ")</f>
        <v xml:space="preserve">http://slimages.macys.com/is/image/MCY/11923884 </v>
      </c>
    </row>
    <row r="46" spans="1:12" ht="39.950000000000003" customHeight="1" x14ac:dyDescent="0.25">
      <c r="A46" s="6" t="s">
        <v>4178</v>
      </c>
      <c r="B46" s="7" t="s">
        <v>4169</v>
      </c>
      <c r="C46" s="8">
        <v>2</v>
      </c>
      <c r="D46" s="9">
        <v>33.979999999999997</v>
      </c>
      <c r="E46" s="8" t="s">
        <v>4179</v>
      </c>
      <c r="F46" s="7" t="s">
        <v>3363</v>
      </c>
      <c r="G46" s="10" t="s">
        <v>3645</v>
      </c>
      <c r="H46" s="7" t="s">
        <v>3471</v>
      </c>
      <c r="I46" s="7" t="s">
        <v>3378</v>
      </c>
      <c r="J46" s="7"/>
      <c r="K46" s="7"/>
      <c r="L46" s="11" t="str">
        <f>HYPERLINK("http://slimages.macys.com/is/image/MCY/17332464 ")</f>
        <v xml:space="preserve">http://slimages.macys.com/is/image/MCY/17332464 </v>
      </c>
    </row>
    <row r="47" spans="1:12" ht="39.950000000000003" customHeight="1" x14ac:dyDescent="0.25">
      <c r="A47" s="6" t="s">
        <v>4180</v>
      </c>
      <c r="B47" s="7" t="s">
        <v>4181</v>
      </c>
      <c r="C47" s="8">
        <v>1</v>
      </c>
      <c r="D47" s="9">
        <v>8.99</v>
      </c>
      <c r="E47" s="8" t="s">
        <v>4182</v>
      </c>
      <c r="F47" s="7" t="s">
        <v>3553</v>
      </c>
      <c r="G47" s="10"/>
      <c r="H47" s="7" t="s">
        <v>3526</v>
      </c>
      <c r="I47" s="7" t="s">
        <v>3527</v>
      </c>
      <c r="J47" s="7" t="s">
        <v>3358</v>
      </c>
      <c r="K47" s="7" t="s">
        <v>3390</v>
      </c>
      <c r="L47" s="11" t="str">
        <f>HYPERLINK("http://slimages.macys.com/is/image/MCY/3162549 ")</f>
        <v xml:space="preserve">http://slimages.macys.com/is/image/MCY/3162549 </v>
      </c>
    </row>
    <row r="48" spans="1:12" ht="39.950000000000003" customHeight="1" x14ac:dyDescent="0.25">
      <c r="A48" s="6" t="s">
        <v>4183</v>
      </c>
      <c r="B48" s="7" t="s">
        <v>4184</v>
      </c>
      <c r="C48" s="8">
        <v>1</v>
      </c>
      <c r="D48" s="9">
        <v>19.989999999999998</v>
      </c>
      <c r="E48" s="8">
        <v>1001239100</v>
      </c>
      <c r="F48" s="7" t="s">
        <v>3525</v>
      </c>
      <c r="G48" s="10" t="s">
        <v>3774</v>
      </c>
      <c r="H48" s="7" t="s">
        <v>3482</v>
      </c>
      <c r="I48" s="7" t="s">
        <v>3618</v>
      </c>
      <c r="J48" s="7" t="s">
        <v>3358</v>
      </c>
      <c r="K48" s="7" t="s">
        <v>3484</v>
      </c>
      <c r="L48" s="11" t="str">
        <f>HYPERLINK("http://slimages.macys.com/is/image/MCY/11722610 ")</f>
        <v xml:space="preserve">http://slimages.macys.com/is/image/MCY/11722610 </v>
      </c>
    </row>
    <row r="49" spans="1:12" ht="39.950000000000003" customHeight="1" x14ac:dyDescent="0.25">
      <c r="A49" s="6" t="s">
        <v>3768</v>
      </c>
      <c r="B49" s="7" t="s">
        <v>3769</v>
      </c>
      <c r="C49" s="8">
        <v>1</v>
      </c>
      <c r="D49" s="9">
        <v>39.99</v>
      </c>
      <c r="E49" s="8" t="s">
        <v>3770</v>
      </c>
      <c r="F49" s="7" t="s">
        <v>3701</v>
      </c>
      <c r="G49" s="10"/>
      <c r="H49" s="7" t="s">
        <v>3601</v>
      </c>
      <c r="I49" s="7" t="s">
        <v>3602</v>
      </c>
      <c r="J49" s="7" t="s">
        <v>3358</v>
      </c>
      <c r="K49" s="7"/>
      <c r="L49" s="11" t="str">
        <f>HYPERLINK("http://slimages.macys.com/is/image/MCY/8433239 ")</f>
        <v xml:space="preserve">http://slimages.macys.com/is/image/MCY/8433239 </v>
      </c>
    </row>
    <row r="50" spans="1:12" ht="39.950000000000003" customHeight="1" x14ac:dyDescent="0.25">
      <c r="A50" s="6" t="s">
        <v>4185</v>
      </c>
      <c r="B50" s="7" t="s">
        <v>4186</v>
      </c>
      <c r="C50" s="8">
        <v>1</v>
      </c>
      <c r="D50" s="9">
        <v>78.11</v>
      </c>
      <c r="E50" s="8" t="s">
        <v>4187</v>
      </c>
      <c r="F50" s="7"/>
      <c r="G50" s="10"/>
      <c r="H50" s="7" t="s">
        <v>3388</v>
      </c>
      <c r="I50" s="7" t="s">
        <v>4188</v>
      </c>
      <c r="J50" s="7"/>
      <c r="K50" s="7"/>
      <c r="L50" s="11" t="str">
        <f>HYPERLINK("http://slimages.macys.com/is/image/MCY/16939337 ")</f>
        <v xml:space="preserve">http://slimages.macys.com/is/image/MCY/16939337 </v>
      </c>
    </row>
    <row r="51" spans="1:12" ht="39.950000000000003" customHeight="1" x14ac:dyDescent="0.25">
      <c r="A51" s="6" t="s">
        <v>4189</v>
      </c>
      <c r="B51" s="7" t="s">
        <v>4190</v>
      </c>
      <c r="C51" s="8">
        <v>2</v>
      </c>
      <c r="D51" s="9">
        <v>19.98</v>
      </c>
      <c r="E51" s="8" t="s">
        <v>4191</v>
      </c>
      <c r="F51" s="7" t="s">
        <v>3735</v>
      </c>
      <c r="G51" s="10" t="s">
        <v>4192</v>
      </c>
      <c r="H51" s="7" t="s">
        <v>3482</v>
      </c>
      <c r="I51" s="7" t="s">
        <v>3618</v>
      </c>
      <c r="J51" s="7" t="s">
        <v>3358</v>
      </c>
      <c r="K51" s="7" t="s">
        <v>3582</v>
      </c>
      <c r="L51" s="11" t="str">
        <f>HYPERLINK("http://slimages.macys.com/is/image/MCY/13285497 ")</f>
        <v xml:space="preserve">http://slimages.macys.com/is/image/MCY/13285497 </v>
      </c>
    </row>
    <row r="52" spans="1:12" ht="39.950000000000003" customHeight="1" x14ac:dyDescent="0.25">
      <c r="A52" s="6" t="s">
        <v>4193</v>
      </c>
      <c r="B52" s="7" t="s">
        <v>4194</v>
      </c>
      <c r="C52" s="8">
        <v>1</v>
      </c>
      <c r="D52" s="9">
        <v>9.99</v>
      </c>
      <c r="E52" s="8" t="s">
        <v>4195</v>
      </c>
      <c r="F52" s="7" t="s">
        <v>3481</v>
      </c>
      <c r="G52" s="10" t="s">
        <v>4192</v>
      </c>
      <c r="H52" s="7" t="s">
        <v>3482</v>
      </c>
      <c r="I52" s="7" t="s">
        <v>3618</v>
      </c>
      <c r="J52" s="7" t="s">
        <v>3358</v>
      </c>
      <c r="K52" s="7" t="s">
        <v>3582</v>
      </c>
      <c r="L52" s="11" t="str">
        <f>HYPERLINK("http://slimages.macys.com/is/image/MCY/13285497 ")</f>
        <v xml:space="preserve">http://slimages.macys.com/is/image/MCY/13285497 </v>
      </c>
    </row>
    <row r="53" spans="1:12" ht="39.950000000000003" customHeight="1" x14ac:dyDescent="0.25">
      <c r="A53" s="6" t="s">
        <v>4196</v>
      </c>
      <c r="B53" s="7" t="s">
        <v>4197</v>
      </c>
      <c r="C53" s="8">
        <v>1</v>
      </c>
      <c r="D53" s="9">
        <v>7.99</v>
      </c>
      <c r="E53" s="8" t="s">
        <v>4198</v>
      </c>
      <c r="F53" s="7" t="s">
        <v>3407</v>
      </c>
      <c r="G53" s="10"/>
      <c r="H53" s="7" t="s">
        <v>3372</v>
      </c>
      <c r="I53" s="7" t="s">
        <v>3565</v>
      </c>
      <c r="J53" s="7" t="s">
        <v>3358</v>
      </c>
      <c r="K53" s="7" t="s">
        <v>4199</v>
      </c>
      <c r="L53" s="11" t="str">
        <f>HYPERLINK("http://slimages.macys.com/is/image/MCY/15893113 ")</f>
        <v xml:space="preserve">http://slimages.macys.com/is/image/MCY/15893113 </v>
      </c>
    </row>
    <row r="54" spans="1:12" ht="39.950000000000003" customHeight="1" x14ac:dyDescent="0.25">
      <c r="A54" s="6" t="s">
        <v>4200</v>
      </c>
      <c r="B54" s="7" t="s">
        <v>4201</v>
      </c>
      <c r="C54" s="8">
        <v>1</v>
      </c>
      <c r="D54" s="9">
        <v>2.99</v>
      </c>
      <c r="E54" s="8" t="s">
        <v>4202</v>
      </c>
      <c r="F54" s="7" t="s">
        <v>3363</v>
      </c>
      <c r="G54" s="10" t="s">
        <v>3774</v>
      </c>
      <c r="H54" s="7" t="s">
        <v>3372</v>
      </c>
      <c r="I54" s="7" t="s">
        <v>3413</v>
      </c>
      <c r="J54" s="7" t="s">
        <v>3358</v>
      </c>
      <c r="K54" s="7"/>
      <c r="L54" s="11" t="str">
        <f>HYPERLINK("http://slimages.macys.com/is/image/MCY/13909832 ")</f>
        <v xml:space="preserve">http://slimages.macys.com/is/image/MCY/13909832 </v>
      </c>
    </row>
    <row r="55" spans="1:12" ht="39.950000000000003" customHeight="1" x14ac:dyDescent="0.25">
      <c r="A55" s="6" t="s">
        <v>4203</v>
      </c>
      <c r="B55" s="7" t="s">
        <v>4204</v>
      </c>
      <c r="C55" s="8">
        <v>1</v>
      </c>
      <c r="D55" s="9">
        <v>2.99</v>
      </c>
      <c r="E55" s="8" t="s">
        <v>4205</v>
      </c>
      <c r="F55" s="7" t="s">
        <v>3490</v>
      </c>
      <c r="G55" s="10" t="s">
        <v>3774</v>
      </c>
      <c r="H55" s="7" t="s">
        <v>3372</v>
      </c>
      <c r="I55" s="7" t="s">
        <v>3413</v>
      </c>
      <c r="J55" s="7" t="s">
        <v>3358</v>
      </c>
      <c r="K55" s="7"/>
      <c r="L55" s="11" t="str">
        <f>HYPERLINK("http://slimages.macys.com/is/image/MCY/13909832 ")</f>
        <v xml:space="preserve">http://slimages.macys.com/is/image/MCY/13909832 </v>
      </c>
    </row>
    <row r="56" spans="1:12" ht="39.950000000000003" customHeight="1" x14ac:dyDescent="0.25">
      <c r="A56" s="6" t="s">
        <v>4206</v>
      </c>
      <c r="B56" s="7" t="s">
        <v>4207</v>
      </c>
      <c r="C56" s="8">
        <v>1</v>
      </c>
      <c r="D56" s="9">
        <v>209.99</v>
      </c>
      <c r="E56" s="8" t="s">
        <v>4208</v>
      </c>
      <c r="F56" s="7" t="s">
        <v>3363</v>
      </c>
      <c r="G56" s="10"/>
      <c r="H56" s="7" t="s">
        <v>3388</v>
      </c>
      <c r="I56" s="7" t="s">
        <v>3461</v>
      </c>
      <c r="J56" s="7"/>
      <c r="K56" s="7"/>
      <c r="L56" s="11"/>
    </row>
    <row r="57" spans="1:12" ht="39.950000000000003" customHeight="1" x14ac:dyDescent="0.25">
      <c r="A57" s="6" t="s">
        <v>3540</v>
      </c>
      <c r="B57" s="7" t="s">
        <v>3541</v>
      </c>
      <c r="C57" s="8">
        <v>6</v>
      </c>
      <c r="D57" s="9">
        <v>240</v>
      </c>
      <c r="E57" s="8"/>
      <c r="F57" s="7" t="s">
        <v>3542</v>
      </c>
      <c r="G57" s="10" t="s">
        <v>3504</v>
      </c>
      <c r="H57" s="7" t="s">
        <v>3543</v>
      </c>
      <c r="I57" s="7" t="s">
        <v>3544</v>
      </c>
      <c r="J57" s="7"/>
      <c r="K57" s="7"/>
      <c r="L57" s="11"/>
    </row>
    <row r="58" spans="1:12" ht="39.950000000000003" customHeight="1" x14ac:dyDescent="0.25">
      <c r="A58" s="6" t="s">
        <v>4209</v>
      </c>
      <c r="B58" s="7" t="s">
        <v>4210</v>
      </c>
      <c r="C58" s="8">
        <v>1</v>
      </c>
      <c r="D58" s="9">
        <v>69.989999999999995</v>
      </c>
      <c r="E58" s="8" t="s">
        <v>4211</v>
      </c>
      <c r="F58" s="7" t="s">
        <v>3525</v>
      </c>
      <c r="G58" s="10"/>
      <c r="H58" s="7" t="s">
        <v>3492</v>
      </c>
      <c r="I58" s="7" t="s">
        <v>4212</v>
      </c>
      <c r="J58" s="7"/>
      <c r="K58" s="7"/>
      <c r="L58" s="11"/>
    </row>
    <row r="59" spans="1:12" ht="39.950000000000003" customHeight="1" x14ac:dyDescent="0.25">
      <c r="A59" s="6" t="s">
        <v>4213</v>
      </c>
      <c r="B59" s="7" t="s">
        <v>4214</v>
      </c>
      <c r="C59" s="8">
        <v>1</v>
      </c>
      <c r="D59" s="9">
        <v>79.989999999999995</v>
      </c>
      <c r="E59" s="8" t="s">
        <v>4215</v>
      </c>
      <c r="F59" s="7" t="s">
        <v>3363</v>
      </c>
      <c r="G59" s="10" t="s">
        <v>3645</v>
      </c>
      <c r="H59" s="7" t="s">
        <v>3365</v>
      </c>
      <c r="I59" s="7" t="s">
        <v>3558</v>
      </c>
      <c r="J59" s="7"/>
      <c r="K59" s="7"/>
      <c r="L59" s="11"/>
    </row>
    <row r="60" spans="1:12" ht="39.950000000000003" customHeight="1" x14ac:dyDescent="0.25">
      <c r="A60" s="6" t="s">
        <v>4216</v>
      </c>
      <c r="B60" s="7" t="s">
        <v>4217</v>
      </c>
      <c r="C60" s="8">
        <v>1</v>
      </c>
      <c r="D60" s="9">
        <v>49.99</v>
      </c>
      <c r="E60" s="8" t="s">
        <v>4218</v>
      </c>
      <c r="F60" s="7" t="s">
        <v>4219</v>
      </c>
      <c r="G60" s="10"/>
      <c r="H60" s="7" t="s">
        <v>3431</v>
      </c>
      <c r="I60" s="7" t="s">
        <v>4220</v>
      </c>
      <c r="J60" s="7"/>
      <c r="K60" s="7"/>
      <c r="L60" s="11"/>
    </row>
    <row r="61" spans="1:12" ht="39.950000000000003" customHeight="1" x14ac:dyDescent="0.25">
      <c r="A61" s="6" t="s">
        <v>4221</v>
      </c>
      <c r="B61" s="7" t="s">
        <v>4222</v>
      </c>
      <c r="C61" s="8">
        <v>1</v>
      </c>
      <c r="D61" s="9">
        <v>39.99</v>
      </c>
      <c r="E61" s="8" t="s">
        <v>4223</v>
      </c>
      <c r="F61" s="7" t="s">
        <v>3498</v>
      </c>
      <c r="G61" s="10"/>
      <c r="H61" s="7" t="s">
        <v>3418</v>
      </c>
      <c r="I61" s="7" t="s">
        <v>4224</v>
      </c>
      <c r="J61" s="7"/>
      <c r="K61" s="7"/>
      <c r="L61" s="11"/>
    </row>
    <row r="62" spans="1:12" ht="39.950000000000003" customHeight="1" x14ac:dyDescent="0.25">
      <c r="A62" s="6" t="s">
        <v>4225</v>
      </c>
      <c r="B62" s="7" t="s">
        <v>4226</v>
      </c>
      <c r="C62" s="8">
        <v>1</v>
      </c>
      <c r="D62" s="9">
        <v>47.99</v>
      </c>
      <c r="E62" s="8" t="s">
        <v>4227</v>
      </c>
      <c r="F62" s="7" t="s">
        <v>3706</v>
      </c>
      <c r="G62" s="10" t="s">
        <v>3364</v>
      </c>
      <c r="H62" s="7" t="s">
        <v>3377</v>
      </c>
      <c r="I62" s="7" t="s">
        <v>3478</v>
      </c>
      <c r="J62" s="7"/>
      <c r="K62" s="7"/>
      <c r="L62" s="11"/>
    </row>
    <row r="63" spans="1:12" ht="39.950000000000003" customHeight="1" x14ac:dyDescent="0.25">
      <c r="A63" s="6" t="s">
        <v>4228</v>
      </c>
      <c r="B63" s="7" t="s">
        <v>4229</v>
      </c>
      <c r="C63" s="8">
        <v>1</v>
      </c>
      <c r="D63" s="9">
        <v>19.989999999999998</v>
      </c>
      <c r="E63" s="8" t="s">
        <v>4230</v>
      </c>
      <c r="F63" s="7" t="s">
        <v>3553</v>
      </c>
      <c r="G63" s="10"/>
      <c r="H63" s="7" t="s">
        <v>3515</v>
      </c>
      <c r="I63" s="7" t="s">
        <v>4231</v>
      </c>
      <c r="J63" s="7"/>
      <c r="K63" s="7"/>
      <c r="L63" s="11"/>
    </row>
    <row r="64" spans="1:12" ht="39.950000000000003" customHeight="1" x14ac:dyDescent="0.25">
      <c r="A64" s="6" t="s">
        <v>4232</v>
      </c>
      <c r="B64" s="7" t="s">
        <v>4229</v>
      </c>
      <c r="C64" s="8">
        <v>1</v>
      </c>
      <c r="D64" s="9">
        <v>19.989999999999998</v>
      </c>
      <c r="E64" s="8" t="s">
        <v>4233</v>
      </c>
      <c r="F64" s="7" t="s">
        <v>3514</v>
      </c>
      <c r="G64" s="10"/>
      <c r="H64" s="7" t="s">
        <v>3515</v>
      </c>
      <c r="I64" s="7" t="s">
        <v>4231</v>
      </c>
      <c r="J64" s="7"/>
      <c r="K64" s="7"/>
      <c r="L64" s="11"/>
    </row>
    <row r="65" spans="1:12" ht="39.950000000000003" customHeight="1" x14ac:dyDescent="0.25">
      <c r="A65" s="6" t="s">
        <v>4234</v>
      </c>
      <c r="B65" s="7" t="s">
        <v>4235</v>
      </c>
      <c r="C65" s="8">
        <v>1</v>
      </c>
      <c r="D65" s="9">
        <v>29.99</v>
      </c>
      <c r="E65" s="8">
        <v>100107101</v>
      </c>
      <c r="F65" s="7" t="s">
        <v>3355</v>
      </c>
      <c r="G65" s="10" t="s">
        <v>3453</v>
      </c>
      <c r="H65" s="7" t="s">
        <v>3454</v>
      </c>
      <c r="I65" s="7" t="s">
        <v>3455</v>
      </c>
      <c r="J65" s="7"/>
      <c r="K65" s="7"/>
      <c r="L65" s="11"/>
    </row>
  </sheetData>
  <phoneticPr fontId="0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7"/>
  <sheetViews>
    <sheetView workbookViewId="0"/>
  </sheetViews>
  <sheetFormatPr defaultRowHeight="39.950000000000003" customHeight="1" x14ac:dyDescent="0.25"/>
  <cols>
    <col min="1" max="1" width="14.28515625" customWidth="1"/>
    <col min="2" max="2" width="50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4236</v>
      </c>
      <c r="B2" s="7" t="s">
        <v>4237</v>
      </c>
      <c r="C2" s="8">
        <v>1</v>
      </c>
      <c r="D2" s="9">
        <v>164.99</v>
      </c>
      <c r="E2" s="8" t="s">
        <v>4238</v>
      </c>
      <c r="F2" s="7" t="s">
        <v>3673</v>
      </c>
      <c r="G2" s="10"/>
      <c r="H2" s="7" t="s">
        <v>3526</v>
      </c>
      <c r="I2" s="7" t="s">
        <v>3849</v>
      </c>
      <c r="J2" s="7" t="s">
        <v>3379</v>
      </c>
      <c r="K2" s="7" t="s">
        <v>3521</v>
      </c>
      <c r="L2" s="11" t="str">
        <f>HYPERLINK("http://slimages.macys.com/is/image/MCY/10036136 ")</f>
        <v xml:space="preserve">http://slimages.macys.com/is/image/MCY/10036136 </v>
      </c>
    </row>
    <row r="3" spans="1:12" ht="39.950000000000003" customHeight="1" x14ac:dyDescent="0.25">
      <c r="A3" s="6" t="s">
        <v>3374</v>
      </c>
      <c r="B3" s="7" t="s">
        <v>3375</v>
      </c>
      <c r="C3" s="8">
        <v>2</v>
      </c>
      <c r="D3" s="9">
        <v>399.98</v>
      </c>
      <c r="E3" s="8" t="s">
        <v>3376</v>
      </c>
      <c r="F3" s="7" t="s">
        <v>3363</v>
      </c>
      <c r="G3" s="10"/>
      <c r="H3" s="7" t="s">
        <v>3377</v>
      </c>
      <c r="I3" s="7" t="s">
        <v>3378</v>
      </c>
      <c r="J3" s="7" t="s">
        <v>3379</v>
      </c>
      <c r="K3" s="7" t="s">
        <v>3380</v>
      </c>
      <c r="L3" s="11" t="str">
        <f>HYPERLINK("http://slimages.macys.com/is/image/MCY/3962568 ")</f>
        <v xml:space="preserve">http://slimages.macys.com/is/image/MCY/3962568 </v>
      </c>
    </row>
    <row r="4" spans="1:12" ht="39.950000000000003" customHeight="1" x14ac:dyDescent="0.25">
      <c r="A4" s="6" t="s">
        <v>4239</v>
      </c>
      <c r="B4" s="7" t="s">
        <v>4240</v>
      </c>
      <c r="C4" s="8">
        <v>1</v>
      </c>
      <c r="D4" s="9">
        <v>179.99</v>
      </c>
      <c r="E4" s="8" t="s">
        <v>4241</v>
      </c>
      <c r="F4" s="7" t="s">
        <v>3937</v>
      </c>
      <c r="G4" s="10"/>
      <c r="H4" s="7" t="s">
        <v>3412</v>
      </c>
      <c r="I4" s="7" t="s">
        <v>4242</v>
      </c>
      <c r="J4" s="7"/>
      <c r="K4" s="7"/>
      <c r="L4" s="11" t="str">
        <f>HYPERLINK("http://slimages.macys.com/is/image/MCY/17857771 ")</f>
        <v xml:space="preserve">http://slimages.macys.com/is/image/MCY/17857771 </v>
      </c>
    </row>
    <row r="5" spans="1:12" ht="39.950000000000003" customHeight="1" x14ac:dyDescent="0.25">
      <c r="A5" s="6" t="s">
        <v>3570</v>
      </c>
      <c r="B5" s="7" t="s">
        <v>3571</v>
      </c>
      <c r="C5" s="8">
        <v>1</v>
      </c>
      <c r="D5" s="9">
        <v>229.99</v>
      </c>
      <c r="E5" s="8" t="s">
        <v>3572</v>
      </c>
      <c r="F5" s="7" t="s">
        <v>3355</v>
      </c>
      <c r="G5" s="10"/>
      <c r="H5" s="7" t="s">
        <v>3365</v>
      </c>
      <c r="I5" s="7" t="s">
        <v>3554</v>
      </c>
      <c r="J5" s="7" t="s">
        <v>3358</v>
      </c>
      <c r="K5" s="7" t="s">
        <v>3573</v>
      </c>
      <c r="L5" s="11" t="str">
        <f>HYPERLINK("http://slimages.macys.com/is/image/MCY/15767044 ")</f>
        <v xml:space="preserve">http://slimages.macys.com/is/image/MCY/15767044 </v>
      </c>
    </row>
    <row r="6" spans="1:12" ht="39.950000000000003" customHeight="1" x14ac:dyDescent="0.25">
      <c r="A6" s="6" t="s">
        <v>4243</v>
      </c>
      <c r="B6" s="7" t="s">
        <v>4244</v>
      </c>
      <c r="C6" s="8">
        <v>1</v>
      </c>
      <c r="D6" s="9">
        <v>179.99</v>
      </c>
      <c r="E6" s="8">
        <v>82201</v>
      </c>
      <c r="F6" s="7" t="s">
        <v>3650</v>
      </c>
      <c r="G6" s="10"/>
      <c r="H6" s="7" t="s">
        <v>3412</v>
      </c>
      <c r="I6" s="7" t="s">
        <v>3595</v>
      </c>
      <c r="J6" s="7" t="s">
        <v>3358</v>
      </c>
      <c r="K6" s="7" t="s">
        <v>4245</v>
      </c>
      <c r="L6" s="11" t="str">
        <f>HYPERLINK("http://slimages.macys.com/is/image/MCY/16522333 ")</f>
        <v xml:space="preserve">http://slimages.macys.com/is/image/MCY/16522333 </v>
      </c>
    </row>
    <row r="7" spans="1:12" ht="39.950000000000003" customHeight="1" x14ac:dyDescent="0.25">
      <c r="A7" s="6" t="s">
        <v>4246</v>
      </c>
      <c r="B7" s="7" t="s">
        <v>4247</v>
      </c>
      <c r="C7" s="8">
        <v>1</v>
      </c>
      <c r="D7" s="9">
        <v>149.99</v>
      </c>
      <c r="E7" s="8" t="s">
        <v>4248</v>
      </c>
      <c r="F7" s="7" t="s">
        <v>3498</v>
      </c>
      <c r="G7" s="10" t="s">
        <v>4249</v>
      </c>
      <c r="H7" s="7" t="s">
        <v>3876</v>
      </c>
      <c r="I7" s="7" t="s">
        <v>4250</v>
      </c>
      <c r="J7" s="7" t="s">
        <v>3358</v>
      </c>
      <c r="K7" s="7" t="s">
        <v>4251</v>
      </c>
      <c r="L7" s="11" t="str">
        <f>HYPERLINK("http://slimages.macys.com/is/image/MCY/3879939 ")</f>
        <v xml:space="preserve">http://slimages.macys.com/is/image/MCY/3879939 </v>
      </c>
    </row>
    <row r="8" spans="1:12" ht="39.950000000000003" customHeight="1" x14ac:dyDescent="0.25">
      <c r="A8" s="6" t="s">
        <v>4252</v>
      </c>
      <c r="B8" s="7" t="s">
        <v>4253</v>
      </c>
      <c r="C8" s="8">
        <v>1</v>
      </c>
      <c r="D8" s="9">
        <v>179.99</v>
      </c>
      <c r="E8" s="8">
        <v>80061</v>
      </c>
      <c r="F8" s="7" t="s">
        <v>4112</v>
      </c>
      <c r="G8" s="10"/>
      <c r="H8" s="7" t="s">
        <v>3412</v>
      </c>
      <c r="I8" s="7" t="s">
        <v>3595</v>
      </c>
      <c r="J8" s="7" t="s">
        <v>3358</v>
      </c>
      <c r="K8" s="7" t="s">
        <v>4254</v>
      </c>
      <c r="L8" s="11" t="str">
        <f>HYPERLINK("http://slimages.macys.com/is/image/MCY/9952757 ")</f>
        <v xml:space="preserve">http://slimages.macys.com/is/image/MCY/9952757 </v>
      </c>
    </row>
    <row r="9" spans="1:12" ht="39.950000000000003" customHeight="1" x14ac:dyDescent="0.25">
      <c r="A9" s="6" t="s">
        <v>4255</v>
      </c>
      <c r="B9" s="7" t="s">
        <v>4256</v>
      </c>
      <c r="C9" s="8">
        <v>1</v>
      </c>
      <c r="D9" s="9">
        <v>124.99</v>
      </c>
      <c r="E9" s="8" t="s">
        <v>4257</v>
      </c>
      <c r="F9" s="7" t="s">
        <v>3384</v>
      </c>
      <c r="G9" s="10"/>
      <c r="H9" s="7" t="s">
        <v>3412</v>
      </c>
      <c r="I9" s="7" t="s">
        <v>4258</v>
      </c>
      <c r="J9" s="7" t="s">
        <v>3358</v>
      </c>
      <c r="K9" s="7" t="s">
        <v>3582</v>
      </c>
      <c r="L9" s="11" t="str">
        <f>HYPERLINK("http://slimages.macys.com/is/image/MCY/15607077 ")</f>
        <v xml:space="preserve">http://slimages.macys.com/is/image/MCY/15607077 </v>
      </c>
    </row>
    <row r="10" spans="1:12" ht="39.950000000000003" customHeight="1" x14ac:dyDescent="0.25">
      <c r="A10" s="6" t="s">
        <v>4259</v>
      </c>
      <c r="B10" s="7" t="s">
        <v>4260</v>
      </c>
      <c r="C10" s="8">
        <v>1</v>
      </c>
      <c r="D10" s="9">
        <v>109.99</v>
      </c>
      <c r="E10" s="8" t="s">
        <v>4261</v>
      </c>
      <c r="F10" s="7" t="s">
        <v>4021</v>
      </c>
      <c r="G10" s="10"/>
      <c r="H10" s="7" t="s">
        <v>3412</v>
      </c>
      <c r="I10" s="7" t="s">
        <v>3436</v>
      </c>
      <c r="J10" s="7" t="s">
        <v>3358</v>
      </c>
      <c r="K10" s="7" t="s">
        <v>4262</v>
      </c>
      <c r="L10" s="11" t="str">
        <f>HYPERLINK("http://slimages.macys.com/is/image/MCY/8936712 ")</f>
        <v xml:space="preserve">http://slimages.macys.com/is/image/MCY/8936712 </v>
      </c>
    </row>
    <row r="11" spans="1:12" ht="39.950000000000003" customHeight="1" x14ac:dyDescent="0.25">
      <c r="A11" s="6" t="s">
        <v>4263</v>
      </c>
      <c r="B11" s="7" t="s">
        <v>4264</v>
      </c>
      <c r="C11" s="8">
        <v>1</v>
      </c>
      <c r="D11" s="9">
        <v>129.99</v>
      </c>
      <c r="E11" s="8" t="s">
        <v>4265</v>
      </c>
      <c r="F11" s="7" t="s">
        <v>3525</v>
      </c>
      <c r="G11" s="10"/>
      <c r="H11" s="7" t="s">
        <v>3601</v>
      </c>
      <c r="I11" s="7" t="s">
        <v>3602</v>
      </c>
      <c r="J11" s="7"/>
      <c r="K11" s="7"/>
      <c r="L11" s="11" t="str">
        <f>HYPERLINK("http://slimages.macys.com/is/image/MCY/17885596 ")</f>
        <v xml:space="preserve">http://slimages.macys.com/is/image/MCY/17885596 </v>
      </c>
    </row>
    <row r="12" spans="1:12" ht="39.950000000000003" customHeight="1" x14ac:dyDescent="0.25">
      <c r="A12" s="6" t="s">
        <v>4266</v>
      </c>
      <c r="B12" s="7" t="s">
        <v>4267</v>
      </c>
      <c r="C12" s="8">
        <v>1</v>
      </c>
      <c r="D12" s="9">
        <v>119.99</v>
      </c>
      <c r="E12" s="8" t="s">
        <v>4268</v>
      </c>
      <c r="F12" s="7" t="s">
        <v>3668</v>
      </c>
      <c r="G12" s="10"/>
      <c r="H12" s="7" t="s">
        <v>3492</v>
      </c>
      <c r="I12" s="7" t="s">
        <v>3669</v>
      </c>
      <c r="J12" s="7" t="s">
        <v>3358</v>
      </c>
      <c r="K12" s="7" t="s">
        <v>3390</v>
      </c>
      <c r="L12" s="11" t="str">
        <f>HYPERLINK("http://slimages.macys.com/is/image/MCY/13813297 ")</f>
        <v xml:space="preserve">http://slimages.macys.com/is/image/MCY/13813297 </v>
      </c>
    </row>
    <row r="13" spans="1:12" ht="39.950000000000003" customHeight="1" x14ac:dyDescent="0.25">
      <c r="A13" s="6" t="s">
        <v>4269</v>
      </c>
      <c r="B13" s="7" t="s">
        <v>4270</v>
      </c>
      <c r="C13" s="8">
        <v>1</v>
      </c>
      <c r="D13" s="9">
        <v>119.99</v>
      </c>
      <c r="E13" s="8" t="s">
        <v>4271</v>
      </c>
      <c r="F13" s="7" t="s">
        <v>3802</v>
      </c>
      <c r="G13" s="10"/>
      <c r="H13" s="7" t="s">
        <v>3601</v>
      </c>
      <c r="I13" s="7" t="s">
        <v>3602</v>
      </c>
      <c r="J13" s="7" t="s">
        <v>3358</v>
      </c>
      <c r="K13" s="7" t="s">
        <v>3521</v>
      </c>
      <c r="L13" s="11" t="str">
        <f>HYPERLINK("http://slimages.macys.com/is/image/MCY/11607139 ")</f>
        <v xml:space="preserve">http://slimages.macys.com/is/image/MCY/11607139 </v>
      </c>
    </row>
    <row r="14" spans="1:12" ht="39.950000000000003" customHeight="1" x14ac:dyDescent="0.25">
      <c r="A14" s="6" t="s">
        <v>4272</v>
      </c>
      <c r="B14" s="7" t="s">
        <v>4273</v>
      </c>
      <c r="C14" s="8">
        <v>1</v>
      </c>
      <c r="D14" s="9">
        <v>133.99</v>
      </c>
      <c r="E14" s="8" t="s">
        <v>4274</v>
      </c>
      <c r="F14" s="7" t="s">
        <v>3363</v>
      </c>
      <c r="G14" s="10"/>
      <c r="H14" s="7" t="s">
        <v>3412</v>
      </c>
      <c r="I14" s="7" t="s">
        <v>3436</v>
      </c>
      <c r="J14" s="7" t="s">
        <v>3358</v>
      </c>
      <c r="K14" s="7" t="s">
        <v>4275</v>
      </c>
      <c r="L14" s="11" t="str">
        <f>HYPERLINK("http://slimages.macys.com/is/image/MCY/12933925 ")</f>
        <v xml:space="preserve">http://slimages.macys.com/is/image/MCY/12933925 </v>
      </c>
    </row>
    <row r="15" spans="1:12" ht="39.950000000000003" customHeight="1" x14ac:dyDescent="0.25">
      <c r="A15" s="6" t="s">
        <v>4276</v>
      </c>
      <c r="B15" s="7" t="s">
        <v>4277</v>
      </c>
      <c r="C15" s="8">
        <v>1</v>
      </c>
      <c r="D15" s="9">
        <v>79.989999999999995</v>
      </c>
      <c r="E15" s="8" t="s">
        <v>4278</v>
      </c>
      <c r="F15" s="7" t="s">
        <v>3477</v>
      </c>
      <c r="G15" s="10"/>
      <c r="H15" s="7" t="s">
        <v>3408</v>
      </c>
      <c r="I15" s="7" t="s">
        <v>3409</v>
      </c>
      <c r="J15" s="7"/>
      <c r="K15" s="7"/>
      <c r="L15" s="11" t="str">
        <f>HYPERLINK("http://slimages.macys.com/is/image/MCY/17050004 ")</f>
        <v xml:space="preserve">http://slimages.macys.com/is/image/MCY/17050004 </v>
      </c>
    </row>
    <row r="16" spans="1:12" ht="39.950000000000003" customHeight="1" x14ac:dyDescent="0.25">
      <c r="A16" s="6" t="s">
        <v>4279</v>
      </c>
      <c r="B16" s="7" t="s">
        <v>4280</v>
      </c>
      <c r="C16" s="8">
        <v>1</v>
      </c>
      <c r="D16" s="9">
        <v>119.99</v>
      </c>
      <c r="E16" s="8" t="s">
        <v>4281</v>
      </c>
      <c r="F16" s="7" t="s">
        <v>4049</v>
      </c>
      <c r="G16" s="10"/>
      <c r="H16" s="7" t="s">
        <v>3601</v>
      </c>
      <c r="I16" s="7" t="s">
        <v>3602</v>
      </c>
      <c r="J16" s="7" t="s">
        <v>3358</v>
      </c>
      <c r="K16" s="7" t="s">
        <v>4282</v>
      </c>
      <c r="L16" s="11" t="str">
        <f>HYPERLINK("http://slimages.macys.com/is/image/MCY/8491178 ")</f>
        <v xml:space="preserve">http://slimages.macys.com/is/image/MCY/8491178 </v>
      </c>
    </row>
    <row r="17" spans="1:12" ht="39.950000000000003" customHeight="1" x14ac:dyDescent="0.25">
      <c r="A17" s="6" t="s">
        <v>4283</v>
      </c>
      <c r="B17" s="7" t="s">
        <v>4284</v>
      </c>
      <c r="C17" s="8">
        <v>1</v>
      </c>
      <c r="D17" s="9">
        <v>39.99</v>
      </c>
      <c r="E17" s="8">
        <v>19461338</v>
      </c>
      <c r="F17" s="7" t="s">
        <v>3384</v>
      </c>
      <c r="G17" s="10"/>
      <c r="H17" s="7" t="s">
        <v>3526</v>
      </c>
      <c r="I17" s="7" t="s">
        <v>3413</v>
      </c>
      <c r="J17" s="7" t="s">
        <v>3358</v>
      </c>
      <c r="K17" s="7" t="s">
        <v>4002</v>
      </c>
      <c r="L17" s="11" t="str">
        <f>HYPERLINK("http://slimages.macys.com/is/image/MCY/10307233 ")</f>
        <v xml:space="preserve">http://slimages.macys.com/is/image/MCY/10307233 </v>
      </c>
    </row>
    <row r="18" spans="1:12" ht="39.950000000000003" customHeight="1" x14ac:dyDescent="0.25">
      <c r="A18" s="6" t="s">
        <v>4285</v>
      </c>
      <c r="B18" s="7" t="s">
        <v>4286</v>
      </c>
      <c r="C18" s="8">
        <v>1</v>
      </c>
      <c r="D18" s="9">
        <v>66.989999999999995</v>
      </c>
      <c r="E18" s="8" t="s">
        <v>4287</v>
      </c>
      <c r="F18" s="7" t="s">
        <v>3781</v>
      </c>
      <c r="G18" s="10"/>
      <c r="H18" s="7" t="s">
        <v>3412</v>
      </c>
      <c r="I18" s="7" t="s">
        <v>3510</v>
      </c>
      <c r="J18" s="7" t="s">
        <v>3358</v>
      </c>
      <c r="K18" s="7" t="s">
        <v>3390</v>
      </c>
      <c r="L18" s="11" t="str">
        <f>HYPERLINK("http://slimages.macys.com/is/image/MCY/10005647 ")</f>
        <v xml:space="preserve">http://slimages.macys.com/is/image/MCY/10005647 </v>
      </c>
    </row>
    <row r="19" spans="1:12" ht="39.950000000000003" customHeight="1" x14ac:dyDescent="0.25">
      <c r="A19" s="6" t="s">
        <v>4288</v>
      </c>
      <c r="B19" s="7" t="s">
        <v>4289</v>
      </c>
      <c r="C19" s="8">
        <v>1</v>
      </c>
      <c r="D19" s="9">
        <v>56.99</v>
      </c>
      <c r="E19" s="8" t="s">
        <v>4290</v>
      </c>
      <c r="F19" s="7" t="s">
        <v>3363</v>
      </c>
      <c r="G19" s="10" t="s">
        <v>4291</v>
      </c>
      <c r="H19" s="7" t="s">
        <v>3471</v>
      </c>
      <c r="I19" s="7" t="s">
        <v>3691</v>
      </c>
      <c r="J19" s="7" t="s">
        <v>3692</v>
      </c>
      <c r="K19" s="7" t="s">
        <v>4292</v>
      </c>
      <c r="L19" s="11" t="str">
        <f>HYPERLINK("http://slimages.macys.com/is/image/MCY/9406278 ")</f>
        <v xml:space="preserve">http://slimages.macys.com/is/image/MCY/9406278 </v>
      </c>
    </row>
    <row r="20" spans="1:12" ht="39.950000000000003" customHeight="1" x14ac:dyDescent="0.25">
      <c r="A20" s="6" t="s">
        <v>4293</v>
      </c>
      <c r="B20" s="7" t="s">
        <v>4294</v>
      </c>
      <c r="C20" s="8">
        <v>1</v>
      </c>
      <c r="D20" s="9">
        <v>79.989999999999995</v>
      </c>
      <c r="E20" s="8">
        <v>10006939000</v>
      </c>
      <c r="F20" s="7" t="s">
        <v>3363</v>
      </c>
      <c r="G20" s="10"/>
      <c r="H20" s="7" t="s">
        <v>3658</v>
      </c>
      <c r="I20" s="7" t="s">
        <v>3905</v>
      </c>
      <c r="J20" s="7" t="s">
        <v>3358</v>
      </c>
      <c r="K20" s="7"/>
      <c r="L20" s="11" t="str">
        <f>HYPERLINK("http://slimages.macys.com/is/image/MCY/14725487 ")</f>
        <v xml:space="preserve">http://slimages.macys.com/is/image/MCY/14725487 </v>
      </c>
    </row>
    <row r="21" spans="1:12" ht="39.950000000000003" customHeight="1" x14ac:dyDescent="0.25">
      <c r="A21" s="6" t="s">
        <v>4295</v>
      </c>
      <c r="B21" s="7" t="s">
        <v>4296</v>
      </c>
      <c r="C21" s="8">
        <v>1</v>
      </c>
      <c r="D21" s="9">
        <v>49.99</v>
      </c>
      <c r="E21" s="8" t="s">
        <v>4297</v>
      </c>
      <c r="F21" s="7" t="s">
        <v>3600</v>
      </c>
      <c r="G21" s="10"/>
      <c r="H21" s="7" t="s">
        <v>3526</v>
      </c>
      <c r="I21" s="7" t="s">
        <v>3865</v>
      </c>
      <c r="J21" s="7"/>
      <c r="K21" s="7"/>
      <c r="L21" s="11" t="str">
        <f>HYPERLINK("http://slimages.macys.com/is/image/MCY/17968749 ")</f>
        <v xml:space="preserve">http://slimages.macys.com/is/image/MCY/17968749 </v>
      </c>
    </row>
    <row r="22" spans="1:12" ht="39.950000000000003" customHeight="1" x14ac:dyDescent="0.25">
      <c r="A22" s="6" t="s">
        <v>4298</v>
      </c>
      <c r="B22" s="7" t="s">
        <v>4299</v>
      </c>
      <c r="C22" s="8">
        <v>1</v>
      </c>
      <c r="D22" s="9">
        <v>49.99</v>
      </c>
      <c r="E22" s="8">
        <v>2000000048</v>
      </c>
      <c r="F22" s="7" t="s">
        <v>3477</v>
      </c>
      <c r="G22" s="10"/>
      <c r="H22" s="7" t="s">
        <v>3412</v>
      </c>
      <c r="I22" s="7" t="s">
        <v>3413</v>
      </c>
      <c r="J22" s="7"/>
      <c r="K22" s="7"/>
      <c r="L22" s="11" t="str">
        <f>HYPERLINK("http://slimages.macys.com/is/image/MCY/17932540 ")</f>
        <v xml:space="preserve">http://slimages.macys.com/is/image/MCY/17932540 </v>
      </c>
    </row>
    <row r="23" spans="1:12" ht="39.950000000000003" customHeight="1" x14ac:dyDescent="0.25">
      <c r="A23" s="6" t="s">
        <v>4300</v>
      </c>
      <c r="B23" s="7" t="s">
        <v>4301</v>
      </c>
      <c r="C23" s="8">
        <v>1</v>
      </c>
      <c r="D23" s="9">
        <v>49.99</v>
      </c>
      <c r="E23" s="8" t="s">
        <v>4302</v>
      </c>
      <c r="F23" s="7" t="s">
        <v>3477</v>
      </c>
      <c r="G23" s="10"/>
      <c r="H23" s="7" t="s">
        <v>3412</v>
      </c>
      <c r="I23" s="7" t="s">
        <v>3413</v>
      </c>
      <c r="J23" s="7" t="s">
        <v>3358</v>
      </c>
      <c r="K23" s="7" t="s">
        <v>3390</v>
      </c>
      <c r="L23" s="11" t="str">
        <f>HYPERLINK("http://slimages.macys.com/is/image/MCY/8347198 ")</f>
        <v xml:space="preserve">http://slimages.macys.com/is/image/MCY/8347198 </v>
      </c>
    </row>
    <row r="24" spans="1:12" ht="39.950000000000003" customHeight="1" x14ac:dyDescent="0.25">
      <c r="A24" s="6" t="s">
        <v>3652</v>
      </c>
      <c r="B24" s="7" t="s">
        <v>3653</v>
      </c>
      <c r="C24" s="8">
        <v>1</v>
      </c>
      <c r="D24" s="9">
        <v>89.99</v>
      </c>
      <c r="E24" s="8" t="s">
        <v>3654</v>
      </c>
      <c r="F24" s="7" t="s">
        <v>3355</v>
      </c>
      <c r="G24" s="10"/>
      <c r="H24" s="7" t="s">
        <v>3365</v>
      </c>
      <c r="I24" s="7" t="s">
        <v>3554</v>
      </c>
      <c r="J24" s="7" t="s">
        <v>3358</v>
      </c>
      <c r="K24" s="7" t="s">
        <v>3484</v>
      </c>
      <c r="L24" s="11" t="str">
        <f>HYPERLINK("http://slimages.macys.com/is/image/MCY/16383104 ")</f>
        <v xml:space="preserve">http://slimages.macys.com/is/image/MCY/16383104 </v>
      </c>
    </row>
    <row r="25" spans="1:12" ht="39.950000000000003" customHeight="1" x14ac:dyDescent="0.25">
      <c r="A25" s="6" t="s">
        <v>4303</v>
      </c>
      <c r="B25" s="7" t="s">
        <v>4304</v>
      </c>
      <c r="C25" s="8">
        <v>1</v>
      </c>
      <c r="D25" s="9">
        <v>39.99</v>
      </c>
      <c r="E25" s="8">
        <v>19352232</v>
      </c>
      <c r="F25" s="7" t="s">
        <v>3498</v>
      </c>
      <c r="G25" s="10"/>
      <c r="H25" s="7" t="s">
        <v>3526</v>
      </c>
      <c r="I25" s="7" t="s">
        <v>3413</v>
      </c>
      <c r="J25" s="7" t="s">
        <v>3358</v>
      </c>
      <c r="K25" s="7"/>
      <c r="L25" s="11" t="str">
        <f>HYPERLINK("http://slimages.macys.com/is/image/MCY/10010890 ")</f>
        <v xml:space="preserve">http://slimages.macys.com/is/image/MCY/10010890 </v>
      </c>
    </row>
    <row r="26" spans="1:12" ht="39.950000000000003" customHeight="1" x14ac:dyDescent="0.25">
      <c r="A26" s="6" t="s">
        <v>4305</v>
      </c>
      <c r="B26" s="7" t="s">
        <v>4306</v>
      </c>
      <c r="C26" s="8">
        <v>1</v>
      </c>
      <c r="D26" s="9">
        <v>39.99</v>
      </c>
      <c r="E26" s="8">
        <v>19353232</v>
      </c>
      <c r="F26" s="7" t="s">
        <v>3525</v>
      </c>
      <c r="G26" s="10"/>
      <c r="H26" s="7" t="s">
        <v>3526</v>
      </c>
      <c r="I26" s="7" t="s">
        <v>3413</v>
      </c>
      <c r="J26" s="7" t="s">
        <v>3358</v>
      </c>
      <c r="K26" s="7"/>
      <c r="L26" s="11" t="str">
        <f>HYPERLINK("http://slimages.macys.com/is/image/MCY/10010890 ")</f>
        <v xml:space="preserve">http://slimages.macys.com/is/image/MCY/10010890 </v>
      </c>
    </row>
    <row r="27" spans="1:12" ht="39.950000000000003" customHeight="1" x14ac:dyDescent="0.25">
      <c r="A27" s="6" t="s">
        <v>4307</v>
      </c>
      <c r="B27" s="7" t="s">
        <v>4308</v>
      </c>
      <c r="C27" s="8">
        <v>2</v>
      </c>
      <c r="D27" s="9">
        <v>79.98</v>
      </c>
      <c r="E27" s="8">
        <v>19461238</v>
      </c>
      <c r="F27" s="7" t="s">
        <v>3384</v>
      </c>
      <c r="G27" s="10"/>
      <c r="H27" s="7" t="s">
        <v>3526</v>
      </c>
      <c r="I27" s="7" t="s">
        <v>3413</v>
      </c>
      <c r="J27" s="7" t="s">
        <v>3358</v>
      </c>
      <c r="K27" s="7"/>
      <c r="L27" s="11" t="str">
        <f>HYPERLINK("http://slimages.macys.com/is/image/MCY/10307233 ")</f>
        <v xml:space="preserve">http://slimages.macys.com/is/image/MCY/10307233 </v>
      </c>
    </row>
    <row r="28" spans="1:12" ht="39.950000000000003" customHeight="1" x14ac:dyDescent="0.25">
      <c r="A28" s="6" t="s">
        <v>4309</v>
      </c>
      <c r="B28" s="7" t="s">
        <v>4310</v>
      </c>
      <c r="C28" s="8">
        <v>1</v>
      </c>
      <c r="D28" s="9">
        <v>59.99</v>
      </c>
      <c r="E28" s="8">
        <v>100071346</v>
      </c>
      <c r="F28" s="7" t="s">
        <v>3802</v>
      </c>
      <c r="G28" s="10" t="s">
        <v>3453</v>
      </c>
      <c r="H28" s="7" t="s">
        <v>3408</v>
      </c>
      <c r="I28" s="7" t="s">
        <v>3409</v>
      </c>
      <c r="J28" s="7" t="s">
        <v>3358</v>
      </c>
      <c r="K28" s="7" t="s">
        <v>4311</v>
      </c>
      <c r="L28" s="11" t="str">
        <f>HYPERLINK("http://slimages.macys.com/is/image/MCY/15574389 ")</f>
        <v xml:space="preserve">http://slimages.macys.com/is/image/MCY/15574389 </v>
      </c>
    </row>
    <row r="29" spans="1:12" ht="39.950000000000003" customHeight="1" x14ac:dyDescent="0.25">
      <c r="A29" s="6" t="s">
        <v>4312</v>
      </c>
      <c r="B29" s="7" t="s">
        <v>4313</v>
      </c>
      <c r="C29" s="8">
        <v>1</v>
      </c>
      <c r="D29" s="9">
        <v>39.99</v>
      </c>
      <c r="E29" s="8">
        <v>21416038</v>
      </c>
      <c r="F29" s="7" t="s">
        <v>4314</v>
      </c>
      <c r="G29" s="10"/>
      <c r="H29" s="7" t="s">
        <v>3526</v>
      </c>
      <c r="I29" s="7" t="s">
        <v>3413</v>
      </c>
      <c r="J29" s="7" t="s">
        <v>3358</v>
      </c>
      <c r="K29" s="7"/>
      <c r="L29" s="11" t="str">
        <f>HYPERLINK("http://slimages.macys.com/is/image/MCY/15103695 ")</f>
        <v xml:space="preserve">http://slimages.macys.com/is/image/MCY/15103695 </v>
      </c>
    </row>
    <row r="30" spans="1:12" ht="39.950000000000003" customHeight="1" x14ac:dyDescent="0.25">
      <c r="A30" s="6" t="s">
        <v>3670</v>
      </c>
      <c r="B30" s="7" t="s">
        <v>3671</v>
      </c>
      <c r="C30" s="8">
        <v>2</v>
      </c>
      <c r="D30" s="9">
        <v>139.97999999999999</v>
      </c>
      <c r="E30" s="8" t="s">
        <v>3672</v>
      </c>
      <c r="F30" s="7" t="s">
        <v>3673</v>
      </c>
      <c r="G30" s="10"/>
      <c r="H30" s="7" t="s">
        <v>3365</v>
      </c>
      <c r="I30" s="7" t="s">
        <v>3554</v>
      </c>
      <c r="J30" s="7" t="s">
        <v>3358</v>
      </c>
      <c r="K30" s="7"/>
      <c r="L30" s="11" t="str">
        <f>HYPERLINK("http://slimages.macys.com/is/image/MCY/10468060 ")</f>
        <v xml:space="preserve">http://slimages.macys.com/is/image/MCY/10468060 </v>
      </c>
    </row>
    <row r="31" spans="1:12" ht="39.950000000000003" customHeight="1" x14ac:dyDescent="0.25">
      <c r="A31" s="6" t="s">
        <v>4315</v>
      </c>
      <c r="B31" s="7" t="s">
        <v>4316</v>
      </c>
      <c r="C31" s="8">
        <v>1</v>
      </c>
      <c r="D31" s="9">
        <v>79.989999999999995</v>
      </c>
      <c r="E31" s="8" t="s">
        <v>4317</v>
      </c>
      <c r="F31" s="7" t="s">
        <v>3600</v>
      </c>
      <c r="G31" s="10"/>
      <c r="H31" s="7" t="s">
        <v>3365</v>
      </c>
      <c r="I31" s="7" t="s">
        <v>3554</v>
      </c>
      <c r="J31" s="7" t="s">
        <v>3358</v>
      </c>
      <c r="K31" s="7" t="s">
        <v>4318</v>
      </c>
      <c r="L31" s="11" t="str">
        <f>HYPERLINK("http://slimages.macys.com/is/image/MCY/10468088 ")</f>
        <v xml:space="preserve">http://slimages.macys.com/is/image/MCY/10468088 </v>
      </c>
    </row>
    <row r="32" spans="1:12" ht="39.950000000000003" customHeight="1" x14ac:dyDescent="0.25">
      <c r="A32" s="6" t="s">
        <v>4319</v>
      </c>
      <c r="B32" s="7" t="s">
        <v>4320</v>
      </c>
      <c r="C32" s="8">
        <v>1</v>
      </c>
      <c r="D32" s="9">
        <v>39.99</v>
      </c>
      <c r="E32" s="8" t="s">
        <v>4321</v>
      </c>
      <c r="F32" s="7" t="s">
        <v>3363</v>
      </c>
      <c r="G32" s="10"/>
      <c r="H32" s="7" t="s">
        <v>3601</v>
      </c>
      <c r="I32" s="7" t="s">
        <v>4322</v>
      </c>
      <c r="J32" s="7" t="s">
        <v>3358</v>
      </c>
      <c r="K32" s="7"/>
      <c r="L32" s="11" t="str">
        <f>HYPERLINK("http://slimages.macys.com/is/image/MCY/8699931 ")</f>
        <v xml:space="preserve">http://slimages.macys.com/is/image/MCY/8699931 </v>
      </c>
    </row>
    <row r="33" spans="1:12" ht="39.950000000000003" customHeight="1" x14ac:dyDescent="0.25">
      <c r="A33" s="6" t="s">
        <v>4323</v>
      </c>
      <c r="B33" s="7" t="s">
        <v>4324</v>
      </c>
      <c r="C33" s="8">
        <v>1</v>
      </c>
      <c r="D33" s="9">
        <v>49.99</v>
      </c>
      <c r="E33" s="8" t="s">
        <v>4325</v>
      </c>
      <c r="F33" s="7" t="s">
        <v>3363</v>
      </c>
      <c r="G33" s="10"/>
      <c r="H33" s="7" t="s">
        <v>3526</v>
      </c>
      <c r="I33" s="7" t="s">
        <v>3865</v>
      </c>
      <c r="J33" s="7"/>
      <c r="K33" s="7"/>
      <c r="L33" s="11" t="str">
        <f>HYPERLINK("http://slimages.macys.com/is/image/MCY/17968749 ")</f>
        <v xml:space="preserve">http://slimages.macys.com/is/image/MCY/17968749 </v>
      </c>
    </row>
    <row r="34" spans="1:12" ht="39.950000000000003" customHeight="1" x14ac:dyDescent="0.25">
      <c r="A34" s="6" t="s">
        <v>4326</v>
      </c>
      <c r="B34" s="7" t="s">
        <v>4327</v>
      </c>
      <c r="C34" s="8">
        <v>1</v>
      </c>
      <c r="D34" s="9">
        <v>39.99</v>
      </c>
      <c r="E34" s="8" t="s">
        <v>4328</v>
      </c>
      <c r="F34" s="7" t="s">
        <v>4173</v>
      </c>
      <c r="G34" s="10"/>
      <c r="H34" s="7" t="s">
        <v>3482</v>
      </c>
      <c r="I34" s="7" t="s">
        <v>4329</v>
      </c>
      <c r="J34" s="7" t="s">
        <v>3358</v>
      </c>
      <c r="K34" s="7"/>
      <c r="L34" s="11" t="str">
        <f>HYPERLINK("http://slimages.macys.com/is/image/MCY/9227691 ")</f>
        <v xml:space="preserve">http://slimages.macys.com/is/image/MCY/9227691 </v>
      </c>
    </row>
    <row r="35" spans="1:12" ht="39.950000000000003" customHeight="1" x14ac:dyDescent="0.25">
      <c r="A35" s="6" t="s">
        <v>4330</v>
      </c>
      <c r="B35" s="7" t="s">
        <v>4331</v>
      </c>
      <c r="C35" s="8">
        <v>1</v>
      </c>
      <c r="D35" s="9">
        <v>34.99</v>
      </c>
      <c r="E35" s="8" t="s">
        <v>4332</v>
      </c>
      <c r="F35" s="7" t="s">
        <v>3706</v>
      </c>
      <c r="G35" s="10"/>
      <c r="H35" s="7" t="s">
        <v>3526</v>
      </c>
      <c r="I35" s="7" t="s">
        <v>3900</v>
      </c>
      <c r="J35" s="7" t="s">
        <v>3358</v>
      </c>
      <c r="K35" s="7" t="s">
        <v>3901</v>
      </c>
      <c r="L35" s="11" t="str">
        <f>HYPERLINK("http://slimages.macys.com/is/image/MCY/12900559 ")</f>
        <v xml:space="preserve">http://slimages.macys.com/is/image/MCY/12900559 </v>
      </c>
    </row>
    <row r="36" spans="1:12" ht="39.950000000000003" customHeight="1" x14ac:dyDescent="0.25">
      <c r="A36" s="6" t="s">
        <v>4333</v>
      </c>
      <c r="B36" s="7" t="s">
        <v>4334</v>
      </c>
      <c r="C36" s="8">
        <v>1</v>
      </c>
      <c r="D36" s="9">
        <v>44.99</v>
      </c>
      <c r="E36" s="8" t="s">
        <v>4335</v>
      </c>
      <c r="F36" s="7" t="s">
        <v>3363</v>
      </c>
      <c r="G36" s="10"/>
      <c r="H36" s="7" t="s">
        <v>3388</v>
      </c>
      <c r="I36" s="7" t="s">
        <v>3423</v>
      </c>
      <c r="J36" s="7" t="s">
        <v>3358</v>
      </c>
      <c r="K36" s="7" t="s">
        <v>4336</v>
      </c>
      <c r="L36" s="11" t="str">
        <f>HYPERLINK("http://slimages.macys.com/is/image/MCY/11189220 ")</f>
        <v xml:space="preserve">http://slimages.macys.com/is/image/MCY/11189220 </v>
      </c>
    </row>
    <row r="37" spans="1:12" ht="39.950000000000003" customHeight="1" x14ac:dyDescent="0.25">
      <c r="A37" s="6" t="s">
        <v>4337</v>
      </c>
      <c r="B37" s="7" t="s">
        <v>4338</v>
      </c>
      <c r="C37" s="8">
        <v>1</v>
      </c>
      <c r="D37" s="9">
        <v>29.99</v>
      </c>
      <c r="E37" s="8" t="s">
        <v>4339</v>
      </c>
      <c r="F37" s="7" t="s">
        <v>3363</v>
      </c>
      <c r="G37" s="10"/>
      <c r="H37" s="7" t="s">
        <v>3431</v>
      </c>
      <c r="I37" s="7" t="s">
        <v>3483</v>
      </c>
      <c r="J37" s="7"/>
      <c r="K37" s="7"/>
      <c r="L37" s="11" t="str">
        <f>HYPERLINK("http://slimages.macys.com/is/image/MCY/9322265 ")</f>
        <v xml:space="preserve">http://slimages.macys.com/is/image/MCY/9322265 </v>
      </c>
    </row>
    <row r="38" spans="1:12" ht="39.950000000000003" customHeight="1" x14ac:dyDescent="0.25">
      <c r="A38" s="6" t="s">
        <v>4340</v>
      </c>
      <c r="B38" s="7" t="s">
        <v>4341</v>
      </c>
      <c r="C38" s="8">
        <v>2</v>
      </c>
      <c r="D38" s="9">
        <v>69.98</v>
      </c>
      <c r="E38" s="8" t="s">
        <v>4342</v>
      </c>
      <c r="F38" s="7" t="s">
        <v>3363</v>
      </c>
      <c r="G38" s="10" t="s">
        <v>4343</v>
      </c>
      <c r="H38" s="7" t="s">
        <v>3492</v>
      </c>
      <c r="I38" s="7" t="s">
        <v>3436</v>
      </c>
      <c r="J38" s="7" t="s">
        <v>3358</v>
      </c>
      <c r="K38" s="7" t="s">
        <v>4344</v>
      </c>
      <c r="L38" s="11" t="str">
        <f>HYPERLINK("http://slimages.macys.com/is/image/MCY/8810083 ")</f>
        <v xml:space="preserve">http://slimages.macys.com/is/image/MCY/8810083 </v>
      </c>
    </row>
    <row r="39" spans="1:12" ht="39.950000000000003" customHeight="1" x14ac:dyDescent="0.25">
      <c r="A39" s="6" t="s">
        <v>4345</v>
      </c>
      <c r="B39" s="7" t="s">
        <v>4346</v>
      </c>
      <c r="C39" s="8">
        <v>2</v>
      </c>
      <c r="D39" s="9">
        <v>95.98</v>
      </c>
      <c r="E39" s="8" t="s">
        <v>4347</v>
      </c>
      <c r="F39" s="7" t="s">
        <v>3426</v>
      </c>
      <c r="G39" s="10"/>
      <c r="H39" s="7" t="s">
        <v>3492</v>
      </c>
      <c r="I39" s="7" t="s">
        <v>4348</v>
      </c>
      <c r="J39" s="7" t="s">
        <v>3358</v>
      </c>
      <c r="K39" s="7" t="s">
        <v>3390</v>
      </c>
      <c r="L39" s="11" t="str">
        <f>HYPERLINK("http://slimages.macys.com/is/image/MCY/12887812 ")</f>
        <v xml:space="preserve">http://slimages.macys.com/is/image/MCY/12887812 </v>
      </c>
    </row>
    <row r="40" spans="1:12" ht="39.950000000000003" customHeight="1" x14ac:dyDescent="0.25">
      <c r="A40" s="6" t="s">
        <v>4349</v>
      </c>
      <c r="B40" s="7" t="s">
        <v>4350</v>
      </c>
      <c r="C40" s="8">
        <v>1</v>
      </c>
      <c r="D40" s="9">
        <v>24.99</v>
      </c>
      <c r="E40" s="8" t="s">
        <v>4351</v>
      </c>
      <c r="F40" s="7" t="s">
        <v>3363</v>
      </c>
      <c r="G40" s="10"/>
      <c r="H40" s="7" t="s">
        <v>3388</v>
      </c>
      <c r="I40" s="7" t="s">
        <v>3423</v>
      </c>
      <c r="J40" s="7" t="s">
        <v>3358</v>
      </c>
      <c r="K40" s="7" t="s">
        <v>4336</v>
      </c>
      <c r="L40" s="11" t="str">
        <f>HYPERLINK("http://slimages.macys.com/is/image/MCY/11189220 ")</f>
        <v xml:space="preserve">http://slimages.macys.com/is/image/MCY/11189220 </v>
      </c>
    </row>
    <row r="41" spans="1:12" ht="39.950000000000003" customHeight="1" x14ac:dyDescent="0.25">
      <c r="A41" s="6" t="s">
        <v>4352</v>
      </c>
      <c r="B41" s="7" t="s">
        <v>4353</v>
      </c>
      <c r="C41" s="8">
        <v>1</v>
      </c>
      <c r="D41" s="9">
        <v>24.99</v>
      </c>
      <c r="E41" s="8">
        <v>1007087900</v>
      </c>
      <c r="F41" s="7" t="s">
        <v>3477</v>
      </c>
      <c r="G41" s="10"/>
      <c r="H41" s="7" t="s">
        <v>4165</v>
      </c>
      <c r="I41" s="7" t="s">
        <v>4354</v>
      </c>
      <c r="J41" s="7" t="s">
        <v>3358</v>
      </c>
      <c r="K41" s="7" t="s">
        <v>3951</v>
      </c>
      <c r="L41" s="11" t="str">
        <f>HYPERLINK("http://slimages.macys.com/is/image/MCY/13469350 ")</f>
        <v xml:space="preserve">http://slimages.macys.com/is/image/MCY/13469350 </v>
      </c>
    </row>
    <row r="42" spans="1:12" ht="39.950000000000003" customHeight="1" x14ac:dyDescent="0.25">
      <c r="A42" s="6" t="s">
        <v>4355</v>
      </c>
      <c r="B42" s="7" t="s">
        <v>4356</v>
      </c>
      <c r="C42" s="8">
        <v>1</v>
      </c>
      <c r="D42" s="9">
        <v>29.99</v>
      </c>
      <c r="E42" s="8" t="s">
        <v>4357</v>
      </c>
      <c r="F42" s="7"/>
      <c r="G42" s="10"/>
      <c r="H42" s="7" t="s">
        <v>3412</v>
      </c>
      <c r="I42" s="7" t="s">
        <v>3969</v>
      </c>
      <c r="J42" s="7" t="s">
        <v>3358</v>
      </c>
      <c r="K42" s="7" t="s">
        <v>3390</v>
      </c>
      <c r="L42" s="11" t="str">
        <f>HYPERLINK("http://slimages.macys.com/is/image/MCY/3631004 ")</f>
        <v xml:space="preserve">http://slimages.macys.com/is/image/MCY/3631004 </v>
      </c>
    </row>
    <row r="43" spans="1:12" ht="39.950000000000003" customHeight="1" x14ac:dyDescent="0.25">
      <c r="A43" s="6" t="s">
        <v>4358</v>
      </c>
      <c r="B43" s="7" t="s">
        <v>2367</v>
      </c>
      <c r="C43" s="8">
        <v>1</v>
      </c>
      <c r="D43" s="9">
        <v>9.99</v>
      </c>
      <c r="E43" s="8" t="s">
        <v>2368</v>
      </c>
      <c r="F43" s="7" t="s">
        <v>3363</v>
      </c>
      <c r="G43" s="10"/>
      <c r="H43" s="7" t="s">
        <v>3492</v>
      </c>
      <c r="I43" s="7" t="s">
        <v>3536</v>
      </c>
      <c r="J43" s="7" t="s">
        <v>3358</v>
      </c>
      <c r="K43" s="7"/>
      <c r="L43" s="11" t="str">
        <f>HYPERLINK("http://slimages.macys.com/is/image/MCY/15383508 ")</f>
        <v xml:space="preserve">http://slimages.macys.com/is/image/MCY/15383508 </v>
      </c>
    </row>
    <row r="44" spans="1:12" ht="39.950000000000003" customHeight="1" x14ac:dyDescent="0.25">
      <c r="A44" s="6" t="s">
        <v>2369</v>
      </c>
      <c r="B44" s="7" t="s">
        <v>2370</v>
      </c>
      <c r="C44" s="8">
        <v>1</v>
      </c>
      <c r="D44" s="9">
        <v>26.99</v>
      </c>
      <c r="E44" s="8">
        <v>38686</v>
      </c>
      <c r="F44" s="7" t="s">
        <v>3363</v>
      </c>
      <c r="G44" s="10" t="s">
        <v>3460</v>
      </c>
      <c r="H44" s="7" t="s">
        <v>3388</v>
      </c>
      <c r="I44" s="7" t="s">
        <v>3389</v>
      </c>
      <c r="J44" s="7" t="s">
        <v>3379</v>
      </c>
      <c r="K44" s="7" t="s">
        <v>2371</v>
      </c>
      <c r="L44" s="11" t="str">
        <f>HYPERLINK("http://slimages.macys.com/is/image/MCY/12048873 ")</f>
        <v xml:space="preserve">http://slimages.macys.com/is/image/MCY/12048873 </v>
      </c>
    </row>
    <row r="45" spans="1:12" ht="39.950000000000003" customHeight="1" x14ac:dyDescent="0.25">
      <c r="A45" s="6" t="s">
        <v>2372</v>
      </c>
      <c r="B45" s="7" t="s">
        <v>2373</v>
      </c>
      <c r="C45" s="8">
        <v>2</v>
      </c>
      <c r="D45" s="9">
        <v>59.98</v>
      </c>
      <c r="E45" s="8" t="s">
        <v>2374</v>
      </c>
      <c r="F45" s="7" t="s">
        <v>3617</v>
      </c>
      <c r="G45" s="10"/>
      <c r="H45" s="7" t="s">
        <v>3408</v>
      </c>
      <c r="I45" s="7" t="s">
        <v>3409</v>
      </c>
      <c r="J45" s="7" t="s">
        <v>3358</v>
      </c>
      <c r="K45" s="7" t="s">
        <v>3582</v>
      </c>
      <c r="L45" s="11" t="str">
        <f>HYPERLINK("http://slimages.macys.com/is/image/MCY/9855045 ")</f>
        <v xml:space="preserve">http://slimages.macys.com/is/image/MCY/9855045 </v>
      </c>
    </row>
    <row r="46" spans="1:12" ht="39.950000000000003" customHeight="1" x14ac:dyDescent="0.25">
      <c r="A46" s="6" t="s">
        <v>2375</v>
      </c>
      <c r="B46" s="7" t="s">
        <v>2376</v>
      </c>
      <c r="C46" s="8">
        <v>1</v>
      </c>
      <c r="D46" s="9">
        <v>19.989999999999998</v>
      </c>
      <c r="E46" s="8" t="s">
        <v>2377</v>
      </c>
      <c r="F46" s="7"/>
      <c r="G46" s="10"/>
      <c r="H46" s="7" t="s">
        <v>3515</v>
      </c>
      <c r="I46" s="7" t="s">
        <v>3436</v>
      </c>
      <c r="J46" s="7" t="s">
        <v>3358</v>
      </c>
      <c r="K46" s="7" t="s">
        <v>2378</v>
      </c>
      <c r="L46" s="11" t="str">
        <f>HYPERLINK("http://slimages.macys.com/is/image/MCY/10044390 ")</f>
        <v xml:space="preserve">http://slimages.macys.com/is/image/MCY/10044390 </v>
      </c>
    </row>
    <row r="47" spans="1:12" ht="39.950000000000003" customHeight="1" x14ac:dyDescent="0.25">
      <c r="A47" s="6" t="s">
        <v>2379</v>
      </c>
      <c r="B47" s="7" t="s">
        <v>2380</v>
      </c>
      <c r="C47" s="8">
        <v>1</v>
      </c>
      <c r="D47" s="9">
        <v>14.99</v>
      </c>
      <c r="E47" s="8">
        <v>82062</v>
      </c>
      <c r="F47" s="7" t="s">
        <v>3514</v>
      </c>
      <c r="G47" s="10"/>
      <c r="H47" s="7" t="s">
        <v>3515</v>
      </c>
      <c r="I47" s="7" t="s">
        <v>2381</v>
      </c>
      <c r="J47" s="7" t="s">
        <v>3358</v>
      </c>
      <c r="K47" s="7"/>
      <c r="L47" s="11" t="str">
        <f>HYPERLINK("http://slimages.macys.com/is/image/MCY/9303022 ")</f>
        <v xml:space="preserve">http://slimages.macys.com/is/image/MCY/9303022 </v>
      </c>
    </row>
    <row r="48" spans="1:12" ht="39.950000000000003" customHeight="1" x14ac:dyDescent="0.25">
      <c r="A48" s="6" t="s">
        <v>2382</v>
      </c>
      <c r="B48" s="7" t="s">
        <v>2383</v>
      </c>
      <c r="C48" s="8">
        <v>2</v>
      </c>
      <c r="D48" s="9">
        <v>29.98</v>
      </c>
      <c r="E48" s="8" t="s">
        <v>2384</v>
      </c>
      <c r="F48" s="7"/>
      <c r="G48" s="10"/>
      <c r="H48" s="7" t="s">
        <v>3412</v>
      </c>
      <c r="I48" s="7" t="s">
        <v>3969</v>
      </c>
      <c r="J48" s="7"/>
      <c r="K48" s="7"/>
      <c r="L48" s="11" t="str">
        <f>HYPERLINK("http://slimages.macys.com/is/image/MCY/17145620 ")</f>
        <v xml:space="preserve">http://slimages.macys.com/is/image/MCY/17145620 </v>
      </c>
    </row>
    <row r="49" spans="1:12" ht="39.950000000000003" customHeight="1" x14ac:dyDescent="0.25">
      <c r="A49" s="6" t="s">
        <v>2385</v>
      </c>
      <c r="B49" s="7" t="s">
        <v>2386</v>
      </c>
      <c r="C49" s="8">
        <v>2</v>
      </c>
      <c r="D49" s="9">
        <v>29.98</v>
      </c>
      <c r="E49" s="8" t="s">
        <v>2387</v>
      </c>
      <c r="F49" s="7"/>
      <c r="G49" s="10"/>
      <c r="H49" s="7" t="s">
        <v>3412</v>
      </c>
      <c r="I49" s="7" t="s">
        <v>3969</v>
      </c>
      <c r="J49" s="7" t="s">
        <v>3358</v>
      </c>
      <c r="K49" s="7" t="s">
        <v>2388</v>
      </c>
      <c r="L49" s="11" t="str">
        <f>HYPERLINK("http://slimages.macys.com/is/image/MCY/16140168 ")</f>
        <v xml:space="preserve">http://slimages.macys.com/is/image/MCY/16140168 </v>
      </c>
    </row>
    <row r="50" spans="1:12" ht="39.950000000000003" customHeight="1" x14ac:dyDescent="0.25">
      <c r="A50" s="6" t="s">
        <v>2389</v>
      </c>
      <c r="B50" s="7" t="s">
        <v>2390</v>
      </c>
      <c r="C50" s="8">
        <v>1</v>
      </c>
      <c r="D50" s="9">
        <v>9.99</v>
      </c>
      <c r="E50" s="8" t="s">
        <v>2391</v>
      </c>
      <c r="F50" s="7" t="s">
        <v>3363</v>
      </c>
      <c r="G50" s="10"/>
      <c r="H50" s="7" t="s">
        <v>3471</v>
      </c>
      <c r="I50" s="7" t="s">
        <v>2392</v>
      </c>
      <c r="J50" s="7" t="s">
        <v>3358</v>
      </c>
      <c r="K50" s="7"/>
      <c r="L50" s="11" t="str">
        <f>HYPERLINK("http://slimages.macys.com/is/image/MCY/9406522 ")</f>
        <v xml:space="preserve">http://slimages.macys.com/is/image/MCY/9406522 </v>
      </c>
    </row>
    <row r="51" spans="1:12" ht="39.950000000000003" customHeight="1" x14ac:dyDescent="0.25">
      <c r="A51" s="6" t="s">
        <v>2393</v>
      </c>
      <c r="B51" s="7" t="s">
        <v>2394</v>
      </c>
      <c r="C51" s="8">
        <v>1</v>
      </c>
      <c r="D51" s="9">
        <v>14.99</v>
      </c>
      <c r="E51" s="8">
        <v>1007028900</v>
      </c>
      <c r="F51" s="7" t="s">
        <v>3363</v>
      </c>
      <c r="G51" s="10"/>
      <c r="H51" s="7" t="s">
        <v>3482</v>
      </c>
      <c r="I51" s="7" t="s">
        <v>3651</v>
      </c>
      <c r="J51" s="7" t="s">
        <v>3358</v>
      </c>
      <c r="K51" s="7" t="s">
        <v>3403</v>
      </c>
      <c r="L51" s="11" t="str">
        <f>HYPERLINK("http://slimages.macys.com/is/image/MCY/13985069 ")</f>
        <v xml:space="preserve">http://slimages.macys.com/is/image/MCY/13985069 </v>
      </c>
    </row>
    <row r="52" spans="1:12" ht="39.950000000000003" customHeight="1" x14ac:dyDescent="0.25">
      <c r="A52" s="6" t="s">
        <v>2395</v>
      </c>
      <c r="B52" s="7" t="s">
        <v>2396</v>
      </c>
      <c r="C52" s="8">
        <v>2</v>
      </c>
      <c r="D52" s="9">
        <v>15.98</v>
      </c>
      <c r="E52" s="8" t="s">
        <v>2397</v>
      </c>
      <c r="F52" s="7" t="s">
        <v>3735</v>
      </c>
      <c r="G52" s="10" t="s">
        <v>4192</v>
      </c>
      <c r="H52" s="7" t="s">
        <v>3482</v>
      </c>
      <c r="I52" s="7" t="s">
        <v>3618</v>
      </c>
      <c r="J52" s="7" t="s">
        <v>3358</v>
      </c>
      <c r="K52" s="7" t="s">
        <v>3484</v>
      </c>
      <c r="L52" s="11" t="str">
        <f>HYPERLINK("http://slimages.macys.com/is/image/MCY/3271562 ")</f>
        <v xml:space="preserve">http://slimages.macys.com/is/image/MCY/3271562 </v>
      </c>
    </row>
    <row r="53" spans="1:12" ht="39.950000000000003" customHeight="1" x14ac:dyDescent="0.25">
      <c r="A53" s="6" t="s">
        <v>2398</v>
      </c>
      <c r="B53" s="7" t="s">
        <v>2399</v>
      </c>
      <c r="C53" s="8">
        <v>1</v>
      </c>
      <c r="D53" s="9">
        <v>399.99</v>
      </c>
      <c r="E53" s="8" t="s">
        <v>2400</v>
      </c>
      <c r="F53" s="7" t="s">
        <v>3937</v>
      </c>
      <c r="G53" s="10"/>
      <c r="H53" s="7" t="s">
        <v>3427</v>
      </c>
      <c r="I53" s="7" t="s">
        <v>2401</v>
      </c>
      <c r="J53" s="7"/>
      <c r="K53" s="7"/>
      <c r="L53" s="11"/>
    </row>
    <row r="54" spans="1:12" ht="39.950000000000003" customHeight="1" x14ac:dyDescent="0.25">
      <c r="A54" s="6" t="s">
        <v>2402</v>
      </c>
      <c r="B54" s="7" t="s">
        <v>2403</v>
      </c>
      <c r="C54" s="8">
        <v>1</v>
      </c>
      <c r="D54" s="9">
        <v>149.99</v>
      </c>
      <c r="E54" s="8" t="s">
        <v>2404</v>
      </c>
      <c r="F54" s="7" t="s">
        <v>3503</v>
      </c>
      <c r="G54" s="10"/>
      <c r="H54" s="7" t="s">
        <v>3397</v>
      </c>
      <c r="I54" s="7" t="s">
        <v>3398</v>
      </c>
      <c r="J54" s="7"/>
      <c r="K54" s="7"/>
      <c r="L54" s="11"/>
    </row>
    <row r="55" spans="1:12" ht="39.950000000000003" customHeight="1" x14ac:dyDescent="0.25">
      <c r="A55" s="6" t="s">
        <v>3540</v>
      </c>
      <c r="B55" s="7" t="s">
        <v>3541</v>
      </c>
      <c r="C55" s="8">
        <v>13</v>
      </c>
      <c r="D55" s="9">
        <v>520</v>
      </c>
      <c r="E55" s="8"/>
      <c r="F55" s="7" t="s">
        <v>3542</v>
      </c>
      <c r="G55" s="10" t="s">
        <v>3504</v>
      </c>
      <c r="H55" s="7" t="s">
        <v>3543</v>
      </c>
      <c r="I55" s="7" t="s">
        <v>3544</v>
      </c>
      <c r="J55" s="7"/>
      <c r="K55" s="7"/>
      <c r="L55" s="11"/>
    </row>
    <row r="56" spans="1:12" ht="39.950000000000003" customHeight="1" x14ac:dyDescent="0.25">
      <c r="A56" s="6" t="s">
        <v>2405</v>
      </c>
      <c r="B56" s="7" t="s">
        <v>2406</v>
      </c>
      <c r="C56" s="8">
        <v>1</v>
      </c>
      <c r="D56" s="9">
        <v>34.99</v>
      </c>
      <c r="E56" s="8" t="s">
        <v>2407</v>
      </c>
      <c r="F56" s="7" t="s">
        <v>3840</v>
      </c>
      <c r="G56" s="10" t="s">
        <v>3460</v>
      </c>
      <c r="H56" s="7" t="s">
        <v>3408</v>
      </c>
      <c r="I56" s="7" t="s">
        <v>3409</v>
      </c>
      <c r="J56" s="7"/>
      <c r="K56" s="7"/>
      <c r="L56" s="11"/>
    </row>
    <row r="57" spans="1:12" ht="39.950000000000003" customHeight="1" x14ac:dyDescent="0.25">
      <c r="A57" s="6" t="s">
        <v>2408</v>
      </c>
      <c r="B57" s="7" t="s">
        <v>2409</v>
      </c>
      <c r="C57" s="8">
        <v>2</v>
      </c>
      <c r="D57" s="9">
        <v>20</v>
      </c>
      <c r="E57" s="8" t="s">
        <v>2410</v>
      </c>
      <c r="F57" s="7" t="s">
        <v>3363</v>
      </c>
      <c r="G57" s="10"/>
      <c r="H57" s="7" t="s">
        <v>3388</v>
      </c>
      <c r="I57" s="7" t="s">
        <v>2411</v>
      </c>
      <c r="J57" s="7"/>
      <c r="K57" s="7"/>
      <c r="L57" s="11"/>
    </row>
  </sheetData>
  <phoneticPr fontId="0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4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2412</v>
      </c>
      <c r="B2" s="7" t="s">
        <v>2413</v>
      </c>
      <c r="C2" s="8">
        <v>1</v>
      </c>
      <c r="D2" s="9">
        <v>244.99</v>
      </c>
      <c r="E2" s="8" t="s">
        <v>2414</v>
      </c>
      <c r="F2" s="7" t="s">
        <v>3498</v>
      </c>
      <c r="G2" s="10"/>
      <c r="H2" s="7" t="s">
        <v>3412</v>
      </c>
      <c r="I2" s="7" t="s">
        <v>3436</v>
      </c>
      <c r="J2" s="7" t="s">
        <v>3358</v>
      </c>
      <c r="K2" s="7" t="s">
        <v>2415</v>
      </c>
      <c r="L2" s="11" t="str">
        <f>HYPERLINK("http://slimages.macys.com/is/image/MCY/9536375 ")</f>
        <v xml:space="preserve">http://slimages.macys.com/is/image/MCY/9536375 </v>
      </c>
    </row>
    <row r="3" spans="1:12" ht="39.950000000000003" customHeight="1" x14ac:dyDescent="0.25">
      <c r="A3" s="6" t="s">
        <v>2416</v>
      </c>
      <c r="B3" s="7" t="s">
        <v>2417</v>
      </c>
      <c r="C3" s="8">
        <v>1</v>
      </c>
      <c r="D3" s="9">
        <v>299.99</v>
      </c>
      <c r="E3" s="8" t="s">
        <v>2418</v>
      </c>
      <c r="F3" s="7" t="s">
        <v>3384</v>
      </c>
      <c r="G3" s="10" t="s">
        <v>3364</v>
      </c>
      <c r="H3" s="7" t="s">
        <v>3365</v>
      </c>
      <c r="I3" s="7" t="s">
        <v>3385</v>
      </c>
      <c r="J3" s="7" t="s">
        <v>3358</v>
      </c>
      <c r="K3" s="7" t="s">
        <v>2419</v>
      </c>
      <c r="L3" s="11" t="str">
        <f>HYPERLINK("http://slimages.macys.com/is/image/MCY/15299419 ")</f>
        <v xml:space="preserve">http://slimages.macys.com/is/image/MCY/15299419 </v>
      </c>
    </row>
    <row r="4" spans="1:12" ht="39.950000000000003" customHeight="1" x14ac:dyDescent="0.25">
      <c r="A4" s="6" t="s">
        <v>2420</v>
      </c>
      <c r="B4" s="7" t="s">
        <v>2421</v>
      </c>
      <c r="C4" s="8">
        <v>1</v>
      </c>
      <c r="D4" s="9">
        <v>279.99</v>
      </c>
      <c r="E4" s="8" t="s">
        <v>2422</v>
      </c>
      <c r="F4" s="7" t="s">
        <v>3355</v>
      </c>
      <c r="G4" s="10"/>
      <c r="H4" s="7" t="s">
        <v>3365</v>
      </c>
      <c r="I4" s="7" t="s">
        <v>3554</v>
      </c>
      <c r="J4" s="7" t="s">
        <v>3358</v>
      </c>
      <c r="K4" s="7" t="s">
        <v>3573</v>
      </c>
      <c r="L4" s="11" t="str">
        <f>HYPERLINK("http://slimages.macys.com/is/image/MCY/15767044 ")</f>
        <v xml:space="preserve">http://slimages.macys.com/is/image/MCY/15767044 </v>
      </c>
    </row>
    <row r="5" spans="1:12" ht="39.950000000000003" customHeight="1" x14ac:dyDescent="0.25">
      <c r="A5" s="6" t="s">
        <v>2423</v>
      </c>
      <c r="B5" s="7" t="s">
        <v>2424</v>
      </c>
      <c r="C5" s="8">
        <v>1</v>
      </c>
      <c r="D5" s="9">
        <v>199.99</v>
      </c>
      <c r="E5" s="8" t="s">
        <v>2425</v>
      </c>
      <c r="F5" s="7" t="s">
        <v>3673</v>
      </c>
      <c r="G5" s="10"/>
      <c r="H5" s="7" t="s">
        <v>3365</v>
      </c>
      <c r="I5" s="7" t="s">
        <v>3554</v>
      </c>
      <c r="J5" s="7" t="s">
        <v>3358</v>
      </c>
      <c r="K5" s="7"/>
      <c r="L5" s="11" t="str">
        <f>HYPERLINK("http://slimages.macys.com/is/image/MCY/10467368 ")</f>
        <v xml:space="preserve">http://slimages.macys.com/is/image/MCY/10467368 </v>
      </c>
    </row>
    <row r="6" spans="1:12" ht="39.950000000000003" customHeight="1" x14ac:dyDescent="0.25">
      <c r="A6" s="6" t="s">
        <v>2426</v>
      </c>
      <c r="B6" s="7" t="s">
        <v>2427</v>
      </c>
      <c r="C6" s="8">
        <v>1</v>
      </c>
      <c r="D6" s="9">
        <v>124.99</v>
      </c>
      <c r="E6" s="8" t="s">
        <v>2428</v>
      </c>
      <c r="F6" s="7" t="s">
        <v>3525</v>
      </c>
      <c r="G6" s="10" t="s">
        <v>2429</v>
      </c>
      <c r="H6" s="7" t="s">
        <v>3526</v>
      </c>
      <c r="I6" s="7" t="s">
        <v>3865</v>
      </c>
      <c r="J6" s="7" t="s">
        <v>3358</v>
      </c>
      <c r="K6" s="7" t="s">
        <v>2430</v>
      </c>
      <c r="L6" s="11" t="str">
        <f>HYPERLINK("http://slimages.macys.com/is/image/MCY/8433277 ")</f>
        <v xml:space="preserve">http://slimages.macys.com/is/image/MCY/8433277 </v>
      </c>
    </row>
    <row r="7" spans="1:12" ht="39.950000000000003" customHeight="1" x14ac:dyDescent="0.25">
      <c r="A7" s="6" t="s">
        <v>2431</v>
      </c>
      <c r="B7" s="7" t="s">
        <v>2432</v>
      </c>
      <c r="C7" s="8">
        <v>1</v>
      </c>
      <c r="D7" s="9">
        <v>149.99</v>
      </c>
      <c r="E7" s="8" t="s">
        <v>2433</v>
      </c>
      <c r="F7" s="7" t="s">
        <v>3525</v>
      </c>
      <c r="G7" s="10"/>
      <c r="H7" s="7" t="s">
        <v>3397</v>
      </c>
      <c r="I7" s="7" t="s">
        <v>3398</v>
      </c>
      <c r="J7" s="7" t="s">
        <v>3358</v>
      </c>
      <c r="K7" s="7" t="s">
        <v>3484</v>
      </c>
      <c r="L7" s="11" t="str">
        <f>HYPERLINK("http://slimages.macys.com/is/image/MCY/10312706 ")</f>
        <v xml:space="preserve">http://slimages.macys.com/is/image/MCY/10312706 </v>
      </c>
    </row>
    <row r="8" spans="1:12" ht="39.950000000000003" customHeight="1" x14ac:dyDescent="0.25">
      <c r="A8" s="6" t="s">
        <v>2434</v>
      </c>
      <c r="B8" s="7" t="s">
        <v>2435</v>
      </c>
      <c r="C8" s="8">
        <v>1</v>
      </c>
      <c r="D8" s="9">
        <v>159.99</v>
      </c>
      <c r="E8" s="8" t="s">
        <v>2436</v>
      </c>
      <c r="F8" s="7" t="s">
        <v>3384</v>
      </c>
      <c r="G8" s="10"/>
      <c r="H8" s="7" t="s">
        <v>3408</v>
      </c>
      <c r="I8" s="7" t="s">
        <v>3409</v>
      </c>
      <c r="J8" s="7" t="s">
        <v>3358</v>
      </c>
      <c r="K8" s="7"/>
      <c r="L8" s="11" t="str">
        <f>HYPERLINK("http://slimages.macys.com/is/image/MCY/11320918 ")</f>
        <v xml:space="preserve">http://slimages.macys.com/is/image/MCY/11320918 </v>
      </c>
    </row>
    <row r="9" spans="1:12" ht="39.950000000000003" customHeight="1" x14ac:dyDescent="0.25">
      <c r="A9" s="6" t="s">
        <v>2437</v>
      </c>
      <c r="B9" s="7" t="s">
        <v>2438</v>
      </c>
      <c r="C9" s="8">
        <v>1</v>
      </c>
      <c r="D9" s="9">
        <v>129.99</v>
      </c>
      <c r="E9" s="8" t="s">
        <v>2439</v>
      </c>
      <c r="F9" s="7" t="s">
        <v>3553</v>
      </c>
      <c r="G9" s="10"/>
      <c r="H9" s="7" t="s">
        <v>3408</v>
      </c>
      <c r="I9" s="7" t="s">
        <v>3409</v>
      </c>
      <c r="J9" s="7" t="s">
        <v>3358</v>
      </c>
      <c r="K9" s="7" t="s">
        <v>2440</v>
      </c>
      <c r="L9" s="11" t="str">
        <f>HYPERLINK("http://slimages.macys.com/is/image/MCY/15787487 ")</f>
        <v xml:space="preserve">http://slimages.macys.com/is/image/MCY/15787487 </v>
      </c>
    </row>
    <row r="10" spans="1:12" ht="39.950000000000003" customHeight="1" x14ac:dyDescent="0.25">
      <c r="A10" s="6" t="s">
        <v>2441</v>
      </c>
      <c r="B10" s="7" t="s">
        <v>2442</v>
      </c>
      <c r="C10" s="8">
        <v>2</v>
      </c>
      <c r="D10" s="9">
        <v>239.98</v>
      </c>
      <c r="E10" s="8" t="s">
        <v>2443</v>
      </c>
      <c r="F10" s="7" t="s">
        <v>3600</v>
      </c>
      <c r="G10" s="10"/>
      <c r="H10" s="7" t="s">
        <v>3408</v>
      </c>
      <c r="I10" s="7" t="s">
        <v>4354</v>
      </c>
      <c r="J10" s="7" t="s">
        <v>3358</v>
      </c>
      <c r="K10" s="7" t="s">
        <v>3521</v>
      </c>
      <c r="L10" s="11" t="str">
        <f>HYPERLINK("http://slimages.macys.com/is/image/MCY/9939883 ")</f>
        <v xml:space="preserve">http://slimages.macys.com/is/image/MCY/9939883 </v>
      </c>
    </row>
    <row r="11" spans="1:12" ht="39.950000000000003" customHeight="1" x14ac:dyDescent="0.25">
      <c r="A11" s="6" t="s">
        <v>2444</v>
      </c>
      <c r="B11" s="7" t="s">
        <v>2445</v>
      </c>
      <c r="C11" s="8">
        <v>1</v>
      </c>
      <c r="D11" s="9">
        <v>124.99</v>
      </c>
      <c r="E11" s="8" t="s">
        <v>2446</v>
      </c>
      <c r="F11" s="7" t="s">
        <v>3384</v>
      </c>
      <c r="G11" s="10"/>
      <c r="H11" s="7" t="s">
        <v>3356</v>
      </c>
      <c r="I11" s="7" t="s">
        <v>3436</v>
      </c>
      <c r="J11" s="7" t="s">
        <v>3751</v>
      </c>
      <c r="K11" s="7" t="s">
        <v>2447</v>
      </c>
      <c r="L11" s="11" t="str">
        <f>HYPERLINK("http://slimages.macys.com/is/image/MCY/10139075 ")</f>
        <v xml:space="preserve">http://slimages.macys.com/is/image/MCY/10139075 </v>
      </c>
    </row>
    <row r="12" spans="1:12" ht="39.950000000000003" customHeight="1" x14ac:dyDescent="0.25">
      <c r="A12" s="6" t="s">
        <v>2448</v>
      </c>
      <c r="B12" s="7" t="s">
        <v>2449</v>
      </c>
      <c r="C12" s="8">
        <v>1</v>
      </c>
      <c r="D12" s="9">
        <v>99.99</v>
      </c>
      <c r="E12" s="8" t="s">
        <v>2450</v>
      </c>
      <c r="F12" s="7" t="s">
        <v>3525</v>
      </c>
      <c r="G12" s="10"/>
      <c r="H12" s="7" t="s">
        <v>3492</v>
      </c>
      <c r="I12" s="7" t="s">
        <v>2451</v>
      </c>
      <c r="J12" s="7" t="s">
        <v>3358</v>
      </c>
      <c r="K12" s="7"/>
      <c r="L12" s="11" t="str">
        <f>HYPERLINK("http://slimages.macys.com/is/image/MCY/8349588 ")</f>
        <v xml:space="preserve">http://slimages.macys.com/is/image/MCY/8349588 </v>
      </c>
    </row>
    <row r="13" spans="1:12" ht="39.950000000000003" customHeight="1" x14ac:dyDescent="0.25">
      <c r="A13" s="6" t="s">
        <v>2452</v>
      </c>
      <c r="B13" s="7" t="s">
        <v>2453</v>
      </c>
      <c r="C13" s="8">
        <v>1</v>
      </c>
      <c r="D13" s="9">
        <v>89.99</v>
      </c>
      <c r="E13" s="8" t="s">
        <v>2454</v>
      </c>
      <c r="F13" s="7" t="s">
        <v>3525</v>
      </c>
      <c r="G13" s="10" t="s">
        <v>3504</v>
      </c>
      <c r="H13" s="7" t="s">
        <v>3515</v>
      </c>
      <c r="I13" s="7" t="s">
        <v>2455</v>
      </c>
      <c r="J13" s="7" t="s">
        <v>3358</v>
      </c>
      <c r="K13" s="7" t="s">
        <v>2456</v>
      </c>
      <c r="L13" s="11" t="str">
        <f>HYPERLINK("http://slimages.macys.com/is/image/MCY/12419458 ")</f>
        <v xml:space="preserve">http://slimages.macys.com/is/image/MCY/12419458 </v>
      </c>
    </row>
    <row r="14" spans="1:12" ht="39.950000000000003" customHeight="1" x14ac:dyDescent="0.25">
      <c r="A14" s="6" t="s">
        <v>2457</v>
      </c>
      <c r="B14" s="7" t="s">
        <v>2458</v>
      </c>
      <c r="C14" s="8">
        <v>1</v>
      </c>
      <c r="D14" s="9">
        <v>131.99</v>
      </c>
      <c r="E14" s="8" t="s">
        <v>2459</v>
      </c>
      <c r="F14" s="7" t="s">
        <v>3363</v>
      </c>
      <c r="G14" s="10"/>
      <c r="H14" s="7" t="s">
        <v>3412</v>
      </c>
      <c r="I14" s="7" t="s">
        <v>3510</v>
      </c>
      <c r="J14" s="7" t="s">
        <v>3358</v>
      </c>
      <c r="K14" s="7" t="s">
        <v>3506</v>
      </c>
      <c r="L14" s="11" t="str">
        <f>HYPERLINK("http://slimages.macys.com/is/image/MCY/11436759 ")</f>
        <v xml:space="preserve">http://slimages.macys.com/is/image/MCY/11436759 </v>
      </c>
    </row>
    <row r="15" spans="1:12" ht="39.950000000000003" customHeight="1" x14ac:dyDescent="0.25">
      <c r="A15" s="6" t="s">
        <v>2460</v>
      </c>
      <c r="B15" s="7" t="s">
        <v>2461</v>
      </c>
      <c r="C15" s="8">
        <v>1</v>
      </c>
      <c r="D15" s="9">
        <v>109.99</v>
      </c>
      <c r="E15" s="8" t="s">
        <v>2462</v>
      </c>
      <c r="F15" s="7" t="s">
        <v>4049</v>
      </c>
      <c r="G15" s="10"/>
      <c r="H15" s="7" t="s">
        <v>3408</v>
      </c>
      <c r="I15" s="7" t="s">
        <v>3409</v>
      </c>
      <c r="J15" s="7" t="s">
        <v>3358</v>
      </c>
      <c r="K15" s="7"/>
      <c r="L15" s="11" t="str">
        <f>HYPERLINK("http://slimages.macys.com/is/image/MCY/10040883 ")</f>
        <v xml:space="preserve">http://slimages.macys.com/is/image/MCY/10040883 </v>
      </c>
    </row>
    <row r="16" spans="1:12" ht="39.950000000000003" customHeight="1" x14ac:dyDescent="0.25">
      <c r="A16" s="6" t="s">
        <v>2463</v>
      </c>
      <c r="B16" s="7" t="s">
        <v>2464</v>
      </c>
      <c r="C16" s="8">
        <v>1</v>
      </c>
      <c r="D16" s="9">
        <v>49.99</v>
      </c>
      <c r="E16" s="8">
        <v>4403</v>
      </c>
      <c r="F16" s="7" t="s">
        <v>3363</v>
      </c>
      <c r="G16" s="10" t="s">
        <v>3364</v>
      </c>
      <c r="H16" s="7" t="s">
        <v>3422</v>
      </c>
      <c r="I16" s="7" t="s">
        <v>3423</v>
      </c>
      <c r="J16" s="7" t="s">
        <v>3358</v>
      </c>
      <c r="K16" s="7" t="s">
        <v>2465</v>
      </c>
      <c r="L16" s="11" t="str">
        <f>HYPERLINK("http://slimages.macys.com/is/image/MCY/9873929 ")</f>
        <v xml:space="preserve">http://slimages.macys.com/is/image/MCY/9873929 </v>
      </c>
    </row>
    <row r="17" spans="1:12" ht="39.950000000000003" customHeight="1" x14ac:dyDescent="0.25">
      <c r="A17" s="6" t="s">
        <v>2466</v>
      </c>
      <c r="B17" s="7" t="s">
        <v>2467</v>
      </c>
      <c r="C17" s="8">
        <v>1</v>
      </c>
      <c r="D17" s="9">
        <v>89.99</v>
      </c>
      <c r="E17" s="8" t="s">
        <v>2468</v>
      </c>
      <c r="F17" s="7" t="s">
        <v>3632</v>
      </c>
      <c r="G17" s="10"/>
      <c r="H17" s="7" t="s">
        <v>3412</v>
      </c>
      <c r="I17" s="7" t="s">
        <v>3436</v>
      </c>
      <c r="J17" s="7"/>
      <c r="K17" s="7"/>
      <c r="L17" s="11" t="str">
        <f>HYPERLINK("http://slimages.macys.com/is/image/MCY/17594577 ")</f>
        <v xml:space="preserve">http://slimages.macys.com/is/image/MCY/17594577 </v>
      </c>
    </row>
    <row r="18" spans="1:12" ht="39.950000000000003" customHeight="1" x14ac:dyDescent="0.25">
      <c r="A18" s="6" t="s">
        <v>2469</v>
      </c>
      <c r="B18" s="7" t="s">
        <v>2470</v>
      </c>
      <c r="C18" s="8">
        <v>1</v>
      </c>
      <c r="D18" s="9">
        <v>59.99</v>
      </c>
      <c r="E18" s="8" t="s">
        <v>2471</v>
      </c>
      <c r="F18" s="7" t="s">
        <v>3363</v>
      </c>
      <c r="G18" s="10"/>
      <c r="H18" s="7" t="s">
        <v>3526</v>
      </c>
      <c r="I18" s="7" t="s">
        <v>3865</v>
      </c>
      <c r="J18" s="7"/>
      <c r="K18" s="7"/>
      <c r="L18" s="11" t="str">
        <f>HYPERLINK("http://slimages.macys.com/is/image/MCY/17822517 ")</f>
        <v xml:space="preserve">http://slimages.macys.com/is/image/MCY/17822517 </v>
      </c>
    </row>
    <row r="19" spans="1:12" ht="39.950000000000003" customHeight="1" x14ac:dyDescent="0.25">
      <c r="A19" s="6" t="s">
        <v>2472</v>
      </c>
      <c r="B19" s="7" t="s">
        <v>2473</v>
      </c>
      <c r="C19" s="8">
        <v>1</v>
      </c>
      <c r="D19" s="9">
        <v>119.99</v>
      </c>
      <c r="E19" s="8" t="s">
        <v>2474</v>
      </c>
      <c r="F19" s="7" t="s">
        <v>3904</v>
      </c>
      <c r="G19" s="10"/>
      <c r="H19" s="7" t="s">
        <v>3658</v>
      </c>
      <c r="I19" s="7" t="s">
        <v>3659</v>
      </c>
      <c r="J19" s="7" t="s">
        <v>3751</v>
      </c>
      <c r="K19" s="7" t="s">
        <v>2475</v>
      </c>
      <c r="L19" s="11" t="str">
        <f>HYPERLINK("http://slimages.macys.com/is/image/MCY/12072430 ")</f>
        <v xml:space="preserve">http://slimages.macys.com/is/image/MCY/12072430 </v>
      </c>
    </row>
    <row r="20" spans="1:12" ht="39.950000000000003" customHeight="1" x14ac:dyDescent="0.25">
      <c r="A20" s="6" t="s">
        <v>2476</v>
      </c>
      <c r="B20" s="7" t="s">
        <v>2477</v>
      </c>
      <c r="C20" s="8">
        <v>1</v>
      </c>
      <c r="D20" s="9">
        <v>95.99</v>
      </c>
      <c r="E20" s="8" t="s">
        <v>2478</v>
      </c>
      <c r="F20" s="7" t="s">
        <v>3490</v>
      </c>
      <c r="G20" s="10"/>
      <c r="H20" s="7" t="s">
        <v>3492</v>
      </c>
      <c r="I20" s="7" t="s">
        <v>2479</v>
      </c>
      <c r="J20" s="7" t="s">
        <v>3358</v>
      </c>
      <c r="K20" s="7" t="s">
        <v>2480</v>
      </c>
      <c r="L20" s="11" t="str">
        <f>HYPERLINK("http://slimages.macys.com/is/image/MCY/12140588 ")</f>
        <v xml:space="preserve">http://slimages.macys.com/is/image/MCY/12140588 </v>
      </c>
    </row>
    <row r="21" spans="1:12" ht="39.950000000000003" customHeight="1" x14ac:dyDescent="0.25">
      <c r="A21" s="6" t="s">
        <v>2481</v>
      </c>
      <c r="B21" s="7" t="s">
        <v>2482</v>
      </c>
      <c r="C21" s="8">
        <v>1</v>
      </c>
      <c r="D21" s="9">
        <v>80.989999999999995</v>
      </c>
      <c r="E21" s="8" t="s">
        <v>2483</v>
      </c>
      <c r="F21" s="7" t="s">
        <v>3363</v>
      </c>
      <c r="G21" s="10" t="s">
        <v>3645</v>
      </c>
      <c r="H21" s="7" t="s">
        <v>3388</v>
      </c>
      <c r="I21" s="7" t="s">
        <v>2484</v>
      </c>
      <c r="J21" s="7" t="s">
        <v>3358</v>
      </c>
      <c r="K21" s="7" t="s">
        <v>2485</v>
      </c>
      <c r="L21" s="11" t="str">
        <f>HYPERLINK("http://slimages.macys.com/is/image/MCY/14329867 ")</f>
        <v xml:space="preserve">http://slimages.macys.com/is/image/MCY/14329867 </v>
      </c>
    </row>
    <row r="22" spans="1:12" ht="39.950000000000003" customHeight="1" x14ac:dyDescent="0.25">
      <c r="A22" s="6" t="s">
        <v>2486</v>
      </c>
      <c r="B22" s="7" t="s">
        <v>2487</v>
      </c>
      <c r="C22" s="8">
        <v>1</v>
      </c>
      <c r="D22" s="9">
        <v>80.989999999999995</v>
      </c>
      <c r="E22" s="8" t="s">
        <v>2488</v>
      </c>
      <c r="F22" s="7" t="s">
        <v>3525</v>
      </c>
      <c r="G22" s="10"/>
      <c r="H22" s="7" t="s">
        <v>3422</v>
      </c>
      <c r="I22" s="7" t="s">
        <v>3664</v>
      </c>
      <c r="J22" s="7" t="s">
        <v>3358</v>
      </c>
      <c r="K22" s="7" t="s">
        <v>2489</v>
      </c>
      <c r="L22" s="11" t="str">
        <f>HYPERLINK("http://slimages.macys.com/is/image/MCY/11798634 ")</f>
        <v xml:space="preserve">http://slimages.macys.com/is/image/MCY/11798634 </v>
      </c>
    </row>
    <row r="23" spans="1:12" ht="39.950000000000003" customHeight="1" x14ac:dyDescent="0.25">
      <c r="A23" s="6" t="s">
        <v>2490</v>
      </c>
      <c r="B23" s="7" t="s">
        <v>2491</v>
      </c>
      <c r="C23" s="8">
        <v>1</v>
      </c>
      <c r="D23" s="9">
        <v>71.989999999999995</v>
      </c>
      <c r="E23" s="8" t="s">
        <v>2492</v>
      </c>
      <c r="F23" s="7" t="s">
        <v>3384</v>
      </c>
      <c r="G23" s="10"/>
      <c r="H23" s="7" t="s">
        <v>3356</v>
      </c>
      <c r="I23" s="7" t="s">
        <v>2493</v>
      </c>
      <c r="J23" s="7" t="s">
        <v>3358</v>
      </c>
      <c r="K23" s="7" t="s">
        <v>3484</v>
      </c>
      <c r="L23" s="11" t="str">
        <f>HYPERLINK("http://slimages.macys.com/is/image/MCY/14358895 ")</f>
        <v xml:space="preserve">http://slimages.macys.com/is/image/MCY/14358895 </v>
      </c>
    </row>
    <row r="24" spans="1:12" ht="39.950000000000003" customHeight="1" x14ac:dyDescent="0.25">
      <c r="A24" s="6" t="s">
        <v>2494</v>
      </c>
      <c r="B24" s="7" t="s">
        <v>2495</v>
      </c>
      <c r="C24" s="8">
        <v>1</v>
      </c>
      <c r="D24" s="9">
        <v>139.99</v>
      </c>
      <c r="E24" s="8" t="s">
        <v>2496</v>
      </c>
      <c r="F24" s="7" t="s">
        <v>3363</v>
      </c>
      <c r="G24" s="10" t="s">
        <v>2497</v>
      </c>
      <c r="H24" s="7" t="s">
        <v>3365</v>
      </c>
      <c r="I24" s="7" t="s">
        <v>3366</v>
      </c>
      <c r="J24" s="7" t="s">
        <v>3358</v>
      </c>
      <c r="K24" s="7" t="s">
        <v>4138</v>
      </c>
      <c r="L24" s="11" t="str">
        <f>HYPERLINK("http://slimages.macys.com/is/image/MCY/8182285 ")</f>
        <v xml:space="preserve">http://slimages.macys.com/is/image/MCY/8182285 </v>
      </c>
    </row>
    <row r="25" spans="1:12" ht="39.950000000000003" customHeight="1" x14ac:dyDescent="0.25">
      <c r="A25" s="6" t="s">
        <v>2498</v>
      </c>
      <c r="B25" s="7" t="s">
        <v>2499</v>
      </c>
      <c r="C25" s="8">
        <v>1</v>
      </c>
      <c r="D25" s="9">
        <v>69.989999999999995</v>
      </c>
      <c r="E25" s="8" t="s">
        <v>2500</v>
      </c>
      <c r="F25" s="7" t="s">
        <v>3363</v>
      </c>
      <c r="G25" s="10" t="s">
        <v>3914</v>
      </c>
      <c r="H25" s="7" t="s">
        <v>3876</v>
      </c>
      <c r="I25" s="7" t="s">
        <v>2501</v>
      </c>
      <c r="J25" s="7" t="s">
        <v>3358</v>
      </c>
      <c r="K25" s="7" t="s">
        <v>3582</v>
      </c>
      <c r="L25" s="11" t="str">
        <f>HYPERLINK("http://slimages.macys.com/is/image/MCY/15730344 ")</f>
        <v xml:space="preserve">http://slimages.macys.com/is/image/MCY/15730344 </v>
      </c>
    </row>
    <row r="26" spans="1:12" ht="39.950000000000003" customHeight="1" x14ac:dyDescent="0.25">
      <c r="A26" s="6" t="s">
        <v>3437</v>
      </c>
      <c r="B26" s="7" t="s">
        <v>3438</v>
      </c>
      <c r="C26" s="8">
        <v>1</v>
      </c>
      <c r="D26" s="9">
        <v>129.99</v>
      </c>
      <c r="E26" s="8" t="s">
        <v>3439</v>
      </c>
      <c r="F26" s="7" t="s">
        <v>3363</v>
      </c>
      <c r="G26" s="10"/>
      <c r="H26" s="7" t="s">
        <v>3365</v>
      </c>
      <c r="I26" s="7" t="s">
        <v>3366</v>
      </c>
      <c r="J26" s="7" t="s">
        <v>3358</v>
      </c>
      <c r="K26" s="7"/>
      <c r="L26" s="11" t="str">
        <f>HYPERLINK("http://slimages.macys.com/is/image/MCY/8152581 ")</f>
        <v xml:space="preserve">http://slimages.macys.com/is/image/MCY/8152581 </v>
      </c>
    </row>
    <row r="27" spans="1:12" ht="39.950000000000003" customHeight="1" x14ac:dyDescent="0.25">
      <c r="A27" s="6" t="s">
        <v>2502</v>
      </c>
      <c r="B27" s="7" t="s">
        <v>2503</v>
      </c>
      <c r="C27" s="8">
        <v>1</v>
      </c>
      <c r="D27" s="9">
        <v>49.99</v>
      </c>
      <c r="E27" s="8" t="s">
        <v>2504</v>
      </c>
      <c r="F27" s="7" t="s">
        <v>3498</v>
      </c>
      <c r="G27" s="10"/>
      <c r="H27" s="7" t="s">
        <v>3526</v>
      </c>
      <c r="I27" s="7" t="s">
        <v>3865</v>
      </c>
      <c r="J27" s="7" t="s">
        <v>3358</v>
      </c>
      <c r="K27" s="7"/>
      <c r="L27" s="11" t="str">
        <f>HYPERLINK("http://slimages.macys.com/is/image/MCY/12658743 ")</f>
        <v xml:space="preserve">http://slimages.macys.com/is/image/MCY/12658743 </v>
      </c>
    </row>
    <row r="28" spans="1:12" ht="39.950000000000003" customHeight="1" x14ac:dyDescent="0.25">
      <c r="A28" s="6" t="s">
        <v>2505</v>
      </c>
      <c r="B28" s="7" t="s">
        <v>2506</v>
      </c>
      <c r="C28" s="8">
        <v>1</v>
      </c>
      <c r="D28" s="9">
        <v>49.99</v>
      </c>
      <c r="E28" s="8" t="s">
        <v>2507</v>
      </c>
      <c r="F28" s="7" t="s">
        <v>3498</v>
      </c>
      <c r="G28" s="10"/>
      <c r="H28" s="7" t="s">
        <v>3526</v>
      </c>
      <c r="I28" s="7" t="s">
        <v>3722</v>
      </c>
      <c r="J28" s="7" t="s">
        <v>3358</v>
      </c>
      <c r="K28" s="7" t="s">
        <v>3582</v>
      </c>
      <c r="L28" s="11" t="str">
        <f>HYPERLINK("http://slimages.macys.com/is/image/MCY/3995435 ")</f>
        <v xml:space="preserve">http://slimages.macys.com/is/image/MCY/3995435 </v>
      </c>
    </row>
    <row r="29" spans="1:12" ht="39.950000000000003" customHeight="1" x14ac:dyDescent="0.25">
      <c r="A29" s="6" t="s">
        <v>2508</v>
      </c>
      <c r="B29" s="7" t="s">
        <v>2509</v>
      </c>
      <c r="C29" s="8">
        <v>1</v>
      </c>
      <c r="D29" s="9">
        <v>89.99</v>
      </c>
      <c r="E29" s="8" t="s">
        <v>2510</v>
      </c>
      <c r="F29" s="7" t="s">
        <v>3384</v>
      </c>
      <c r="G29" s="10"/>
      <c r="H29" s="7" t="s">
        <v>3365</v>
      </c>
      <c r="I29" s="7" t="s">
        <v>3855</v>
      </c>
      <c r="J29" s="7" t="s">
        <v>3813</v>
      </c>
      <c r="K29" s="7" t="s">
        <v>2511</v>
      </c>
      <c r="L29" s="11" t="str">
        <f>HYPERLINK("http://images.bloomingdales.com/is/image/BLM/10169694 ")</f>
        <v xml:space="preserve">http://images.bloomingdales.com/is/image/BLM/10169694 </v>
      </c>
    </row>
    <row r="30" spans="1:12" ht="39.950000000000003" customHeight="1" x14ac:dyDescent="0.25">
      <c r="A30" s="6" t="s">
        <v>2512</v>
      </c>
      <c r="B30" s="7" t="s">
        <v>2513</v>
      </c>
      <c r="C30" s="8">
        <v>1</v>
      </c>
      <c r="D30" s="9">
        <v>59.99</v>
      </c>
      <c r="E30" s="8" t="s">
        <v>2514</v>
      </c>
      <c r="F30" s="7" t="s">
        <v>3617</v>
      </c>
      <c r="G30" s="10" t="s">
        <v>3520</v>
      </c>
      <c r="H30" s="7" t="s">
        <v>3365</v>
      </c>
      <c r="I30" s="7" t="s">
        <v>2515</v>
      </c>
      <c r="J30" s="7" t="s">
        <v>3751</v>
      </c>
      <c r="K30" s="7" t="s">
        <v>3702</v>
      </c>
      <c r="L30" s="11" t="str">
        <f>HYPERLINK("http://images.bloomingdales.com/is/image/BLM/9119230 ")</f>
        <v xml:space="preserve">http://images.bloomingdales.com/is/image/BLM/9119230 </v>
      </c>
    </row>
    <row r="31" spans="1:12" ht="39.950000000000003" customHeight="1" x14ac:dyDescent="0.25">
      <c r="A31" s="6" t="s">
        <v>2516</v>
      </c>
      <c r="B31" s="7" t="s">
        <v>2517</v>
      </c>
      <c r="C31" s="8">
        <v>1</v>
      </c>
      <c r="D31" s="9">
        <v>49.99</v>
      </c>
      <c r="E31" s="8" t="s">
        <v>2518</v>
      </c>
      <c r="F31" s="7" t="s">
        <v>3673</v>
      </c>
      <c r="G31" s="10"/>
      <c r="H31" s="7" t="s">
        <v>3526</v>
      </c>
      <c r="I31" s="7" t="s">
        <v>3865</v>
      </c>
      <c r="J31" s="7"/>
      <c r="K31" s="7"/>
      <c r="L31" s="11" t="str">
        <f>HYPERLINK("http://slimages.macys.com/is/image/MCY/17968749 ")</f>
        <v xml:space="preserve">http://slimages.macys.com/is/image/MCY/17968749 </v>
      </c>
    </row>
    <row r="32" spans="1:12" ht="39.950000000000003" customHeight="1" x14ac:dyDescent="0.25">
      <c r="A32" s="6" t="s">
        <v>2519</v>
      </c>
      <c r="B32" s="7" t="s">
        <v>2520</v>
      </c>
      <c r="C32" s="8">
        <v>1</v>
      </c>
      <c r="D32" s="9">
        <v>79.989999999999995</v>
      </c>
      <c r="E32" s="8" t="s">
        <v>2521</v>
      </c>
      <c r="F32" s="7" t="s">
        <v>3498</v>
      </c>
      <c r="G32" s="10"/>
      <c r="H32" s="7" t="s">
        <v>3365</v>
      </c>
      <c r="I32" s="7" t="s">
        <v>2522</v>
      </c>
      <c r="J32" s="7"/>
      <c r="K32" s="7"/>
      <c r="L32" s="11" t="str">
        <f>HYPERLINK("http://slimages.macys.com/is/image/MCY/16687204 ")</f>
        <v xml:space="preserve">http://slimages.macys.com/is/image/MCY/16687204 </v>
      </c>
    </row>
    <row r="33" spans="1:12" ht="39.950000000000003" customHeight="1" x14ac:dyDescent="0.25">
      <c r="A33" s="6" t="s">
        <v>2523</v>
      </c>
      <c r="B33" s="7" t="s">
        <v>2524</v>
      </c>
      <c r="C33" s="8">
        <v>1</v>
      </c>
      <c r="D33" s="9">
        <v>52.99</v>
      </c>
      <c r="E33" s="8" t="s">
        <v>2525</v>
      </c>
      <c r="F33" s="7" t="s">
        <v>3498</v>
      </c>
      <c r="G33" s="10" t="s">
        <v>3914</v>
      </c>
      <c r="H33" s="7" t="s">
        <v>3492</v>
      </c>
      <c r="I33" s="7" t="s">
        <v>2526</v>
      </c>
      <c r="J33" s="7" t="s">
        <v>3692</v>
      </c>
      <c r="K33" s="7" t="s">
        <v>3506</v>
      </c>
      <c r="L33" s="11" t="str">
        <f>HYPERLINK("http://slimages.macys.com/is/image/MCY/12306513 ")</f>
        <v xml:space="preserve">http://slimages.macys.com/is/image/MCY/12306513 </v>
      </c>
    </row>
    <row r="34" spans="1:12" ht="39.950000000000003" customHeight="1" x14ac:dyDescent="0.25">
      <c r="A34" s="6" t="s">
        <v>2527</v>
      </c>
      <c r="B34" s="7" t="s">
        <v>2528</v>
      </c>
      <c r="C34" s="8">
        <v>1</v>
      </c>
      <c r="D34" s="9">
        <v>39.99</v>
      </c>
      <c r="E34" s="8" t="s">
        <v>2529</v>
      </c>
      <c r="F34" s="7" t="s">
        <v>3384</v>
      </c>
      <c r="G34" s="10"/>
      <c r="H34" s="7" t="s">
        <v>3492</v>
      </c>
      <c r="I34" s="7" t="s">
        <v>2530</v>
      </c>
      <c r="J34" s="7" t="s">
        <v>3358</v>
      </c>
      <c r="K34" s="7"/>
      <c r="L34" s="11" t="str">
        <f>HYPERLINK("http://slimages.macys.com/is/image/MCY/10542101 ")</f>
        <v xml:space="preserve">http://slimages.macys.com/is/image/MCY/10542101 </v>
      </c>
    </row>
    <row r="35" spans="1:12" ht="39.950000000000003" customHeight="1" x14ac:dyDescent="0.25">
      <c r="A35" s="6" t="s">
        <v>2531</v>
      </c>
      <c r="B35" s="7" t="s">
        <v>2532</v>
      </c>
      <c r="C35" s="8">
        <v>1</v>
      </c>
      <c r="D35" s="9">
        <v>54.99</v>
      </c>
      <c r="E35" s="8">
        <v>130418</v>
      </c>
      <c r="F35" s="7" t="s">
        <v>3650</v>
      </c>
      <c r="G35" s="10" t="s">
        <v>3364</v>
      </c>
      <c r="H35" s="7" t="s">
        <v>3422</v>
      </c>
      <c r="I35" s="7" t="s">
        <v>3423</v>
      </c>
      <c r="J35" s="7" t="s">
        <v>3358</v>
      </c>
      <c r="K35" s="7" t="s">
        <v>3390</v>
      </c>
      <c r="L35" s="11" t="str">
        <f>HYPERLINK("http://slimages.macys.com/is/image/MCY/15716697 ")</f>
        <v xml:space="preserve">http://slimages.macys.com/is/image/MCY/15716697 </v>
      </c>
    </row>
    <row r="36" spans="1:12" ht="39.950000000000003" customHeight="1" x14ac:dyDescent="0.25">
      <c r="A36" s="6" t="s">
        <v>2533</v>
      </c>
      <c r="B36" s="7" t="s">
        <v>2534</v>
      </c>
      <c r="C36" s="8">
        <v>1</v>
      </c>
      <c r="D36" s="9">
        <v>37.99</v>
      </c>
      <c r="E36" s="8" t="s">
        <v>2535</v>
      </c>
      <c r="F36" s="7" t="s">
        <v>3921</v>
      </c>
      <c r="G36" s="10" t="s">
        <v>3947</v>
      </c>
      <c r="H36" s="7" t="s">
        <v>3492</v>
      </c>
      <c r="I36" s="7" t="s">
        <v>2526</v>
      </c>
      <c r="J36" s="7" t="s">
        <v>3358</v>
      </c>
      <c r="K36" s="7" t="s">
        <v>3506</v>
      </c>
      <c r="L36" s="11" t="str">
        <f>HYPERLINK("http://slimages.macys.com/is/image/MCY/12471116 ")</f>
        <v xml:space="preserve">http://slimages.macys.com/is/image/MCY/12471116 </v>
      </c>
    </row>
    <row r="37" spans="1:12" ht="39.950000000000003" customHeight="1" x14ac:dyDescent="0.25">
      <c r="A37" s="6" t="s">
        <v>2536</v>
      </c>
      <c r="B37" s="7" t="s">
        <v>2537</v>
      </c>
      <c r="C37" s="8">
        <v>1</v>
      </c>
      <c r="D37" s="9">
        <v>47.99</v>
      </c>
      <c r="E37" s="8" t="s">
        <v>2538</v>
      </c>
      <c r="F37" s="7" t="s">
        <v>3735</v>
      </c>
      <c r="G37" s="10"/>
      <c r="H37" s="7" t="s">
        <v>3492</v>
      </c>
      <c r="I37" s="7" t="s">
        <v>2539</v>
      </c>
      <c r="J37" s="7" t="s">
        <v>3358</v>
      </c>
      <c r="K37" s="7" t="s">
        <v>3390</v>
      </c>
      <c r="L37" s="11" t="str">
        <f>HYPERLINK("http://slimages.macys.com/is/image/MCY/16352372 ")</f>
        <v xml:space="preserve">http://slimages.macys.com/is/image/MCY/16352372 </v>
      </c>
    </row>
    <row r="38" spans="1:12" ht="39.950000000000003" customHeight="1" x14ac:dyDescent="0.25">
      <c r="A38" s="6" t="s">
        <v>3684</v>
      </c>
      <c r="B38" s="7" t="s">
        <v>3685</v>
      </c>
      <c r="C38" s="8">
        <v>1</v>
      </c>
      <c r="D38" s="9">
        <v>79.989999999999995</v>
      </c>
      <c r="E38" s="8" t="s">
        <v>3686</v>
      </c>
      <c r="F38" s="7" t="s">
        <v>3363</v>
      </c>
      <c r="G38" s="10"/>
      <c r="H38" s="7" t="s">
        <v>3471</v>
      </c>
      <c r="I38" s="7" t="s">
        <v>3378</v>
      </c>
      <c r="J38" s="7" t="s">
        <v>3608</v>
      </c>
      <c r="K38" s="7"/>
      <c r="L38" s="11" t="str">
        <f>HYPERLINK("http://slimages.macys.com/is/image/MCY/12779303 ")</f>
        <v xml:space="preserve">http://slimages.macys.com/is/image/MCY/12779303 </v>
      </c>
    </row>
    <row r="39" spans="1:12" ht="39.950000000000003" customHeight="1" x14ac:dyDescent="0.25">
      <c r="A39" s="6" t="s">
        <v>2540</v>
      </c>
      <c r="B39" s="7" t="s">
        <v>2541</v>
      </c>
      <c r="C39" s="8">
        <v>1</v>
      </c>
      <c r="D39" s="9">
        <v>28.99</v>
      </c>
      <c r="E39" s="8" t="s">
        <v>2542</v>
      </c>
      <c r="F39" s="7" t="s">
        <v>3363</v>
      </c>
      <c r="G39" s="10" t="s">
        <v>3504</v>
      </c>
      <c r="H39" s="7" t="s">
        <v>3526</v>
      </c>
      <c r="I39" s="7" t="s">
        <v>2543</v>
      </c>
      <c r="J39" s="7" t="s">
        <v>3358</v>
      </c>
      <c r="K39" s="7" t="s">
        <v>2544</v>
      </c>
      <c r="L39" s="11" t="str">
        <f>HYPERLINK("http://slimages.macys.com/is/image/MCY/13057378 ")</f>
        <v xml:space="preserve">http://slimages.macys.com/is/image/MCY/13057378 </v>
      </c>
    </row>
    <row r="40" spans="1:12" ht="39.950000000000003" customHeight="1" x14ac:dyDescent="0.25">
      <c r="A40" s="6" t="s">
        <v>2545</v>
      </c>
      <c r="B40" s="7" t="s">
        <v>3931</v>
      </c>
      <c r="C40" s="8">
        <v>1</v>
      </c>
      <c r="D40" s="9">
        <v>41.99</v>
      </c>
      <c r="E40" s="8" t="s">
        <v>3932</v>
      </c>
      <c r="F40" s="7" t="s">
        <v>3498</v>
      </c>
      <c r="G40" s="10"/>
      <c r="H40" s="7" t="s">
        <v>3377</v>
      </c>
      <c r="I40" s="7" t="s">
        <v>3478</v>
      </c>
      <c r="J40" s="7"/>
      <c r="K40" s="7"/>
      <c r="L40" s="11" t="str">
        <f>HYPERLINK("http://slimages.macys.com/is/image/MCY/9489266 ")</f>
        <v xml:space="preserve">http://slimages.macys.com/is/image/MCY/9489266 </v>
      </c>
    </row>
    <row r="41" spans="1:12" ht="39.950000000000003" customHeight="1" x14ac:dyDescent="0.25">
      <c r="A41" s="6" t="s">
        <v>2546</v>
      </c>
      <c r="B41" s="7" t="s">
        <v>2547</v>
      </c>
      <c r="C41" s="8">
        <v>2</v>
      </c>
      <c r="D41" s="9">
        <v>59.98</v>
      </c>
      <c r="E41" s="8" t="s">
        <v>2548</v>
      </c>
      <c r="F41" s="7" t="s">
        <v>3363</v>
      </c>
      <c r="G41" s="10" t="s">
        <v>3690</v>
      </c>
      <c r="H41" s="7" t="s">
        <v>3471</v>
      </c>
      <c r="I41" s="7" t="s">
        <v>2549</v>
      </c>
      <c r="J41" s="7" t="s">
        <v>3358</v>
      </c>
      <c r="K41" s="7"/>
      <c r="L41" s="11" t="str">
        <f>HYPERLINK("http://slimages.macys.com/is/image/MCY/8839662 ")</f>
        <v xml:space="preserve">http://slimages.macys.com/is/image/MCY/8839662 </v>
      </c>
    </row>
    <row r="42" spans="1:12" ht="39.950000000000003" customHeight="1" x14ac:dyDescent="0.25">
      <c r="A42" s="6" t="s">
        <v>2550</v>
      </c>
      <c r="B42" s="7" t="s">
        <v>2551</v>
      </c>
      <c r="C42" s="8">
        <v>1</v>
      </c>
      <c r="D42" s="9">
        <v>39.99</v>
      </c>
      <c r="E42" s="8" t="s">
        <v>2552</v>
      </c>
      <c r="F42" s="7" t="s">
        <v>3363</v>
      </c>
      <c r="G42" s="10" t="s">
        <v>3645</v>
      </c>
      <c r="H42" s="7" t="s">
        <v>3471</v>
      </c>
      <c r="I42" s="7" t="s">
        <v>3378</v>
      </c>
      <c r="J42" s="7" t="s">
        <v>3358</v>
      </c>
      <c r="K42" s="7"/>
      <c r="L42" s="11" t="str">
        <f>HYPERLINK("http://slimages.macys.com/is/image/MCY/15661735 ")</f>
        <v xml:space="preserve">http://slimages.macys.com/is/image/MCY/15661735 </v>
      </c>
    </row>
    <row r="43" spans="1:12" ht="39.950000000000003" customHeight="1" x14ac:dyDescent="0.25">
      <c r="A43" s="6" t="s">
        <v>2553</v>
      </c>
      <c r="B43" s="7" t="s">
        <v>2554</v>
      </c>
      <c r="C43" s="8">
        <v>2</v>
      </c>
      <c r="D43" s="9">
        <v>99.98</v>
      </c>
      <c r="E43" s="8" t="s">
        <v>2555</v>
      </c>
      <c r="F43" s="7" t="s">
        <v>3363</v>
      </c>
      <c r="G43" s="10" t="s">
        <v>3460</v>
      </c>
      <c r="H43" s="7" t="s">
        <v>3471</v>
      </c>
      <c r="I43" s="7" t="s">
        <v>2556</v>
      </c>
      <c r="J43" s="7" t="s">
        <v>3379</v>
      </c>
      <c r="K43" s="7" t="s">
        <v>2557</v>
      </c>
      <c r="L43" s="11" t="str">
        <f>HYPERLINK("http://images.bloomingdales.com/is/image/BLM/9688506 ")</f>
        <v xml:space="preserve">http://images.bloomingdales.com/is/image/BLM/9688506 </v>
      </c>
    </row>
    <row r="44" spans="1:12" ht="39.950000000000003" customHeight="1" x14ac:dyDescent="0.25">
      <c r="A44" s="6" t="s">
        <v>2558</v>
      </c>
      <c r="B44" s="7" t="s">
        <v>2559</v>
      </c>
      <c r="C44" s="8">
        <v>1</v>
      </c>
      <c r="D44" s="9">
        <v>39.99</v>
      </c>
      <c r="E44" s="8">
        <v>100071332</v>
      </c>
      <c r="F44" s="7" t="s">
        <v>3363</v>
      </c>
      <c r="G44" s="10"/>
      <c r="H44" s="7" t="s">
        <v>3454</v>
      </c>
      <c r="I44" s="7" t="s">
        <v>3915</v>
      </c>
      <c r="J44" s="7" t="s">
        <v>3358</v>
      </c>
      <c r="K44" s="7" t="s">
        <v>4002</v>
      </c>
      <c r="L44" s="11" t="str">
        <f>HYPERLINK("http://slimages.macys.com/is/image/MCY/14337672 ")</f>
        <v xml:space="preserve">http://slimages.macys.com/is/image/MCY/14337672 </v>
      </c>
    </row>
    <row r="45" spans="1:12" ht="39.950000000000003" customHeight="1" x14ac:dyDescent="0.25">
      <c r="A45" s="6" t="s">
        <v>2560</v>
      </c>
      <c r="B45" s="7" t="s">
        <v>2561</v>
      </c>
      <c r="C45" s="8">
        <v>1</v>
      </c>
      <c r="D45" s="9">
        <v>29.99</v>
      </c>
      <c r="E45" s="8" t="s">
        <v>2562</v>
      </c>
      <c r="F45" s="7" t="s">
        <v>3477</v>
      </c>
      <c r="G45" s="10"/>
      <c r="H45" s="7" t="s">
        <v>3412</v>
      </c>
      <c r="I45" s="7" t="s">
        <v>3413</v>
      </c>
      <c r="J45" s="7" t="s">
        <v>3358</v>
      </c>
      <c r="K45" s="7" t="s">
        <v>4098</v>
      </c>
      <c r="L45" s="11" t="str">
        <f>HYPERLINK("http://slimages.macys.com/is/image/MCY/9700679 ")</f>
        <v xml:space="preserve">http://slimages.macys.com/is/image/MCY/9700679 </v>
      </c>
    </row>
    <row r="46" spans="1:12" ht="39.950000000000003" customHeight="1" x14ac:dyDescent="0.25">
      <c r="A46" s="6" t="s">
        <v>2563</v>
      </c>
      <c r="B46" s="7" t="s">
        <v>2564</v>
      </c>
      <c r="C46" s="8">
        <v>1</v>
      </c>
      <c r="D46" s="9">
        <v>59.99</v>
      </c>
      <c r="E46" s="8" t="s">
        <v>2565</v>
      </c>
      <c r="F46" s="7" t="s">
        <v>3514</v>
      </c>
      <c r="G46" s="10"/>
      <c r="H46" s="7" t="s">
        <v>3365</v>
      </c>
      <c r="I46" s="7" t="s">
        <v>3973</v>
      </c>
      <c r="J46" s="7" t="s">
        <v>3751</v>
      </c>
      <c r="K46" s="7" t="s">
        <v>3974</v>
      </c>
      <c r="L46" s="11" t="str">
        <f>HYPERLINK("http://images.bloomingdales.com/is/image/BLM/9119230 ")</f>
        <v xml:space="preserve">http://images.bloomingdales.com/is/image/BLM/9119230 </v>
      </c>
    </row>
    <row r="47" spans="1:12" ht="39.950000000000003" customHeight="1" x14ac:dyDescent="0.25">
      <c r="A47" s="6" t="s">
        <v>4154</v>
      </c>
      <c r="B47" s="7" t="s">
        <v>4155</v>
      </c>
      <c r="C47" s="8">
        <v>1</v>
      </c>
      <c r="D47" s="9">
        <v>23.99</v>
      </c>
      <c r="E47" s="8" t="s">
        <v>4156</v>
      </c>
      <c r="F47" s="7" t="s">
        <v>3542</v>
      </c>
      <c r="G47" s="10" t="s">
        <v>3690</v>
      </c>
      <c r="H47" s="7" t="s">
        <v>3471</v>
      </c>
      <c r="I47" s="7" t="s">
        <v>3761</v>
      </c>
      <c r="J47" s="7" t="s">
        <v>3751</v>
      </c>
      <c r="K47" s="7"/>
      <c r="L47" s="11" t="str">
        <f>HYPERLINK("http://slimages.macys.com/is/image/MCY/9526176 ")</f>
        <v xml:space="preserve">http://slimages.macys.com/is/image/MCY/9526176 </v>
      </c>
    </row>
    <row r="48" spans="1:12" ht="39.950000000000003" customHeight="1" x14ac:dyDescent="0.25">
      <c r="A48" s="6" t="s">
        <v>2566</v>
      </c>
      <c r="B48" s="7" t="s">
        <v>2567</v>
      </c>
      <c r="C48" s="8">
        <v>1</v>
      </c>
      <c r="D48" s="9">
        <v>39.99</v>
      </c>
      <c r="E48" s="8" t="s">
        <v>2568</v>
      </c>
      <c r="F48" s="7" t="s">
        <v>3477</v>
      </c>
      <c r="G48" s="10"/>
      <c r="H48" s="7" t="s">
        <v>3658</v>
      </c>
      <c r="I48" s="7" t="s">
        <v>3659</v>
      </c>
      <c r="J48" s="7" t="s">
        <v>3751</v>
      </c>
      <c r="K48" s="7" t="s">
        <v>2569</v>
      </c>
      <c r="L48" s="11" t="str">
        <f>HYPERLINK("http://slimages.macys.com/is/image/MCY/9936545 ")</f>
        <v xml:space="preserve">http://slimages.macys.com/is/image/MCY/9936545 </v>
      </c>
    </row>
    <row r="49" spans="1:12" ht="39.950000000000003" customHeight="1" x14ac:dyDescent="0.25">
      <c r="A49" s="6" t="s">
        <v>2570</v>
      </c>
      <c r="B49" s="7" t="s">
        <v>2571</v>
      </c>
      <c r="C49" s="8">
        <v>1</v>
      </c>
      <c r="D49" s="9">
        <v>15.99</v>
      </c>
      <c r="E49" s="8">
        <v>44024</v>
      </c>
      <c r="F49" s="7" t="s">
        <v>3396</v>
      </c>
      <c r="G49" s="10"/>
      <c r="H49" s="7" t="s">
        <v>3492</v>
      </c>
      <c r="I49" s="7" t="s">
        <v>3636</v>
      </c>
      <c r="J49" s="7" t="s">
        <v>3358</v>
      </c>
      <c r="K49" s="7" t="s">
        <v>3390</v>
      </c>
      <c r="L49" s="11" t="str">
        <f>HYPERLINK("http://slimages.macys.com/is/image/MCY/10010137 ")</f>
        <v xml:space="preserve">http://slimages.macys.com/is/image/MCY/10010137 </v>
      </c>
    </row>
    <row r="50" spans="1:12" ht="39.950000000000003" customHeight="1" x14ac:dyDescent="0.25">
      <c r="A50" s="6" t="s">
        <v>2572</v>
      </c>
      <c r="B50" s="7" t="s">
        <v>2573</v>
      </c>
      <c r="C50" s="8">
        <v>1</v>
      </c>
      <c r="D50" s="9">
        <v>15.99</v>
      </c>
      <c r="E50" s="8">
        <v>50944</v>
      </c>
      <c r="F50" s="7" t="s">
        <v>3531</v>
      </c>
      <c r="G50" s="10"/>
      <c r="H50" s="7" t="s">
        <v>3492</v>
      </c>
      <c r="I50" s="7" t="s">
        <v>3636</v>
      </c>
      <c r="J50" s="7" t="s">
        <v>3358</v>
      </c>
      <c r="K50" s="7" t="s">
        <v>3390</v>
      </c>
      <c r="L50" s="11" t="str">
        <f>HYPERLINK("http://slimages.macys.com/is/image/MCY/10010137 ")</f>
        <v xml:space="preserve">http://slimages.macys.com/is/image/MCY/10010137 </v>
      </c>
    </row>
    <row r="51" spans="1:12" ht="39.950000000000003" customHeight="1" x14ac:dyDescent="0.25">
      <c r="A51" s="6" t="s">
        <v>2574</v>
      </c>
      <c r="B51" s="7" t="s">
        <v>2575</v>
      </c>
      <c r="C51" s="8">
        <v>1</v>
      </c>
      <c r="D51" s="9">
        <v>12.99</v>
      </c>
      <c r="E51" s="8">
        <v>24519</v>
      </c>
      <c r="F51" s="7" t="s">
        <v>3363</v>
      </c>
      <c r="G51" s="10"/>
      <c r="H51" s="7" t="s">
        <v>3492</v>
      </c>
      <c r="I51" s="7" t="s">
        <v>3636</v>
      </c>
      <c r="J51" s="7" t="s">
        <v>3358</v>
      </c>
      <c r="K51" s="7"/>
      <c r="L51" s="11" t="str">
        <f>HYPERLINK("http://slimages.macys.com/is/image/MCY/9056506 ")</f>
        <v xml:space="preserve">http://slimages.macys.com/is/image/MCY/9056506 </v>
      </c>
    </row>
    <row r="52" spans="1:12" ht="39.950000000000003" customHeight="1" x14ac:dyDescent="0.25">
      <c r="A52" s="6" t="s">
        <v>2576</v>
      </c>
      <c r="B52" s="7" t="s">
        <v>2577</v>
      </c>
      <c r="C52" s="8">
        <v>1</v>
      </c>
      <c r="D52" s="9">
        <v>19.989999999999998</v>
      </c>
      <c r="E52" s="8">
        <v>100071550</v>
      </c>
      <c r="F52" s="7" t="s">
        <v>3481</v>
      </c>
      <c r="G52" s="10"/>
      <c r="H52" s="7" t="s">
        <v>3454</v>
      </c>
      <c r="I52" s="7" t="s">
        <v>4017</v>
      </c>
      <c r="J52" s="7" t="s">
        <v>3751</v>
      </c>
      <c r="K52" s="7" t="s">
        <v>3390</v>
      </c>
      <c r="L52" s="11" t="str">
        <f>HYPERLINK("http://slimages.macys.com/is/image/MCY/16143901 ")</f>
        <v xml:space="preserve">http://slimages.macys.com/is/image/MCY/16143901 </v>
      </c>
    </row>
    <row r="53" spans="1:12" ht="39.950000000000003" customHeight="1" x14ac:dyDescent="0.25">
      <c r="A53" s="6" t="s">
        <v>2578</v>
      </c>
      <c r="B53" s="7" t="s">
        <v>2579</v>
      </c>
      <c r="C53" s="8">
        <v>1</v>
      </c>
      <c r="D53" s="9">
        <v>11.99</v>
      </c>
      <c r="E53" s="8">
        <v>48934</v>
      </c>
      <c r="F53" s="7" t="s">
        <v>3531</v>
      </c>
      <c r="G53" s="10"/>
      <c r="H53" s="7" t="s">
        <v>3492</v>
      </c>
      <c r="I53" s="7" t="s">
        <v>3636</v>
      </c>
      <c r="J53" s="7" t="s">
        <v>3358</v>
      </c>
      <c r="K53" s="7"/>
      <c r="L53" s="11" t="str">
        <f>HYPERLINK("http://slimages.macys.com/is/image/MCY/9056392 ")</f>
        <v xml:space="preserve">http://slimages.macys.com/is/image/MCY/9056392 </v>
      </c>
    </row>
    <row r="54" spans="1:12" ht="39.950000000000003" customHeight="1" x14ac:dyDescent="0.25">
      <c r="A54" s="6" t="s">
        <v>2580</v>
      </c>
      <c r="B54" s="7" t="s">
        <v>2581</v>
      </c>
      <c r="C54" s="8">
        <v>1</v>
      </c>
      <c r="D54" s="9">
        <v>14.99</v>
      </c>
      <c r="E54" s="8" t="s">
        <v>2582</v>
      </c>
      <c r="F54" s="7" t="s">
        <v>3371</v>
      </c>
      <c r="G54" s="10"/>
      <c r="H54" s="7" t="s">
        <v>3492</v>
      </c>
      <c r="I54" s="7" t="s">
        <v>2583</v>
      </c>
      <c r="J54" s="7" t="s">
        <v>3358</v>
      </c>
      <c r="K54" s="7" t="s">
        <v>2584</v>
      </c>
      <c r="L54" s="11" t="str">
        <f>HYPERLINK("http://slimages.macys.com/is/image/MCY/11461583 ")</f>
        <v xml:space="preserve">http://slimages.macys.com/is/image/MCY/11461583 </v>
      </c>
    </row>
    <row r="55" spans="1:12" ht="39.950000000000003" customHeight="1" x14ac:dyDescent="0.25">
      <c r="A55" s="6" t="s">
        <v>2585</v>
      </c>
      <c r="B55" s="7" t="s">
        <v>2586</v>
      </c>
      <c r="C55" s="8">
        <v>1</v>
      </c>
      <c r="D55" s="9">
        <v>9.99</v>
      </c>
      <c r="E55" s="8" t="s">
        <v>2587</v>
      </c>
      <c r="F55" s="7" t="s">
        <v>3363</v>
      </c>
      <c r="G55" s="10" t="s">
        <v>3460</v>
      </c>
      <c r="H55" s="7" t="s">
        <v>3388</v>
      </c>
      <c r="I55" s="7" t="s">
        <v>2588</v>
      </c>
      <c r="J55" s="7" t="s">
        <v>3608</v>
      </c>
      <c r="K55" s="7" t="s">
        <v>2589</v>
      </c>
      <c r="L55" s="11" t="str">
        <f>HYPERLINK("http://slimages.macys.com/is/image/MCY/12741094 ")</f>
        <v xml:space="preserve">http://slimages.macys.com/is/image/MCY/12741094 </v>
      </c>
    </row>
    <row r="56" spans="1:12" ht="39.950000000000003" customHeight="1" x14ac:dyDescent="0.25">
      <c r="A56" s="6" t="s">
        <v>2590</v>
      </c>
      <c r="B56" s="7" t="s">
        <v>2591</v>
      </c>
      <c r="C56" s="8">
        <v>1</v>
      </c>
      <c r="D56" s="9">
        <v>99.99</v>
      </c>
      <c r="E56" s="8" t="s">
        <v>2592</v>
      </c>
      <c r="F56" s="7" t="s">
        <v>3384</v>
      </c>
      <c r="G56" s="10"/>
      <c r="H56" s="7" t="s">
        <v>3526</v>
      </c>
      <c r="I56" s="7" t="s">
        <v>2593</v>
      </c>
      <c r="J56" s="7"/>
      <c r="K56" s="7"/>
      <c r="L56" s="11"/>
    </row>
    <row r="57" spans="1:12" ht="39.950000000000003" customHeight="1" x14ac:dyDescent="0.25">
      <c r="A57" s="6" t="s">
        <v>2594</v>
      </c>
      <c r="B57" s="7" t="s">
        <v>2595</v>
      </c>
      <c r="C57" s="8">
        <v>1</v>
      </c>
      <c r="D57" s="9">
        <v>109.99</v>
      </c>
      <c r="E57" s="8" t="s">
        <v>2596</v>
      </c>
      <c r="F57" s="7" t="s">
        <v>3384</v>
      </c>
      <c r="G57" s="10"/>
      <c r="H57" s="7" t="s">
        <v>3408</v>
      </c>
      <c r="I57" s="7" t="s">
        <v>3409</v>
      </c>
      <c r="J57" s="7"/>
      <c r="K57" s="7"/>
      <c r="L57" s="11"/>
    </row>
    <row r="58" spans="1:12" ht="39.950000000000003" customHeight="1" x14ac:dyDescent="0.25">
      <c r="A58" s="6" t="s">
        <v>2597</v>
      </c>
      <c r="B58" s="7" t="s">
        <v>2598</v>
      </c>
      <c r="C58" s="8">
        <v>2</v>
      </c>
      <c r="D58" s="9">
        <v>165</v>
      </c>
      <c r="E58" s="8"/>
      <c r="F58" s="7" t="s">
        <v>3542</v>
      </c>
      <c r="G58" s="10" t="s">
        <v>3504</v>
      </c>
      <c r="H58" s="7" t="s">
        <v>3543</v>
      </c>
      <c r="I58" s="7" t="s">
        <v>3544</v>
      </c>
      <c r="J58" s="7"/>
      <c r="K58" s="7"/>
      <c r="L58" s="11"/>
    </row>
    <row r="59" spans="1:12" ht="39.950000000000003" customHeight="1" x14ac:dyDescent="0.25">
      <c r="A59" s="6" t="s">
        <v>3540</v>
      </c>
      <c r="B59" s="7" t="s">
        <v>3541</v>
      </c>
      <c r="C59" s="8">
        <v>8</v>
      </c>
      <c r="D59" s="9">
        <v>320</v>
      </c>
      <c r="E59" s="8"/>
      <c r="F59" s="7" t="s">
        <v>3542</v>
      </c>
      <c r="G59" s="10" t="s">
        <v>3504</v>
      </c>
      <c r="H59" s="7" t="s">
        <v>3543</v>
      </c>
      <c r="I59" s="7" t="s">
        <v>3544</v>
      </c>
      <c r="J59" s="7"/>
      <c r="K59" s="7"/>
      <c r="L59" s="11"/>
    </row>
    <row r="60" spans="1:12" ht="39.950000000000003" customHeight="1" x14ac:dyDescent="0.25">
      <c r="A60" s="6" t="s">
        <v>2599</v>
      </c>
      <c r="B60" s="7" t="s">
        <v>2600</v>
      </c>
      <c r="C60" s="8">
        <v>1</v>
      </c>
      <c r="D60" s="9">
        <v>79.989999999999995</v>
      </c>
      <c r="E60" s="8" t="s">
        <v>2601</v>
      </c>
      <c r="F60" s="7" t="s">
        <v>3363</v>
      </c>
      <c r="G60" s="10"/>
      <c r="H60" s="7" t="s">
        <v>3388</v>
      </c>
      <c r="I60" s="7" t="s">
        <v>2602</v>
      </c>
      <c r="J60" s="7"/>
      <c r="K60" s="7"/>
      <c r="L60" s="11"/>
    </row>
    <row r="61" spans="1:12" ht="39.950000000000003" customHeight="1" x14ac:dyDescent="0.25">
      <c r="A61" s="6" t="s">
        <v>2603</v>
      </c>
      <c r="B61" s="7" t="s">
        <v>2604</v>
      </c>
      <c r="C61" s="8">
        <v>1</v>
      </c>
      <c r="D61" s="9">
        <v>79.989999999999995</v>
      </c>
      <c r="E61" s="8" t="s">
        <v>2605</v>
      </c>
      <c r="F61" s="7" t="s">
        <v>3363</v>
      </c>
      <c r="G61" s="10" t="s">
        <v>3504</v>
      </c>
      <c r="H61" s="7" t="s">
        <v>3388</v>
      </c>
      <c r="I61" s="7" t="s">
        <v>2606</v>
      </c>
      <c r="J61" s="7"/>
      <c r="K61" s="7"/>
      <c r="L61" s="11"/>
    </row>
    <row r="62" spans="1:12" ht="39.950000000000003" customHeight="1" x14ac:dyDescent="0.25">
      <c r="A62" s="6" t="s">
        <v>2607</v>
      </c>
      <c r="B62" s="7" t="s">
        <v>2608</v>
      </c>
      <c r="C62" s="8">
        <v>1</v>
      </c>
      <c r="D62" s="9">
        <v>44.99</v>
      </c>
      <c r="E62" s="8" t="s">
        <v>2609</v>
      </c>
      <c r="F62" s="7" t="s">
        <v>3477</v>
      </c>
      <c r="G62" s="10"/>
      <c r="H62" s="7" t="s">
        <v>3356</v>
      </c>
      <c r="I62" s="7" t="s">
        <v>2610</v>
      </c>
      <c r="J62" s="7"/>
      <c r="K62" s="7"/>
      <c r="L62" s="11"/>
    </row>
    <row r="63" spans="1:12" ht="39.950000000000003" customHeight="1" x14ac:dyDescent="0.25">
      <c r="A63" s="6" t="s">
        <v>2611</v>
      </c>
      <c r="B63" s="7" t="s">
        <v>2612</v>
      </c>
      <c r="C63" s="8">
        <v>1</v>
      </c>
      <c r="D63" s="9">
        <v>19</v>
      </c>
      <c r="E63" s="8">
        <v>492601565796</v>
      </c>
      <c r="F63" s="7" t="s">
        <v>3542</v>
      </c>
      <c r="G63" s="10" t="s">
        <v>3504</v>
      </c>
      <c r="H63" s="7" t="s">
        <v>3543</v>
      </c>
      <c r="I63" s="7" t="s">
        <v>3544</v>
      </c>
      <c r="J63" s="7"/>
      <c r="K63" s="7"/>
      <c r="L63" s="11"/>
    </row>
    <row r="64" spans="1:12" ht="39.950000000000003" customHeight="1" x14ac:dyDescent="0.25">
      <c r="A64" s="6" t="s">
        <v>2613</v>
      </c>
      <c r="B64" s="7" t="s">
        <v>2614</v>
      </c>
      <c r="C64" s="8">
        <v>1</v>
      </c>
      <c r="D64" s="9">
        <v>12.99</v>
      </c>
      <c r="E64" s="8" t="s">
        <v>3796</v>
      </c>
      <c r="F64" s="7" t="s">
        <v>4219</v>
      </c>
      <c r="G64" s="10"/>
      <c r="H64" s="7" t="s">
        <v>3526</v>
      </c>
      <c r="I64" s="7" t="s">
        <v>3527</v>
      </c>
      <c r="J64" s="7"/>
      <c r="K64" s="7"/>
      <c r="L64" s="11"/>
    </row>
  </sheetData>
  <phoneticPr fontId="0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2615</v>
      </c>
      <c r="B2" s="7" t="s">
        <v>2616</v>
      </c>
      <c r="C2" s="8">
        <v>1</v>
      </c>
      <c r="D2" s="9">
        <v>439.99</v>
      </c>
      <c r="E2" s="8" t="s">
        <v>2617</v>
      </c>
      <c r="F2" s="7" t="s">
        <v>3363</v>
      </c>
      <c r="G2" s="10" t="s">
        <v>3364</v>
      </c>
      <c r="H2" s="7" t="s">
        <v>3377</v>
      </c>
      <c r="I2" s="7" t="s">
        <v>3548</v>
      </c>
      <c r="J2" s="7" t="s">
        <v>3358</v>
      </c>
      <c r="K2" s="7" t="s">
        <v>3549</v>
      </c>
      <c r="L2" s="11" t="str">
        <f>HYPERLINK("http://slimages.macys.com/is/image/MCY/3974565 ")</f>
        <v xml:space="preserve">http://slimages.macys.com/is/image/MCY/3974565 </v>
      </c>
    </row>
    <row r="3" spans="1:12" ht="39.950000000000003" customHeight="1" x14ac:dyDescent="0.25">
      <c r="A3" s="6" t="s">
        <v>2618</v>
      </c>
      <c r="B3" s="7" t="s">
        <v>2619</v>
      </c>
      <c r="C3" s="8">
        <v>1</v>
      </c>
      <c r="D3" s="9">
        <v>323.99</v>
      </c>
      <c r="E3" s="8" t="s">
        <v>2620</v>
      </c>
      <c r="F3" s="7" t="s">
        <v>3363</v>
      </c>
      <c r="G3" s="10"/>
      <c r="H3" s="7" t="s">
        <v>3422</v>
      </c>
      <c r="I3" s="7" t="s">
        <v>3664</v>
      </c>
      <c r="J3" s="7" t="s">
        <v>3692</v>
      </c>
      <c r="K3" s="7" t="s">
        <v>2621</v>
      </c>
      <c r="L3" s="11" t="str">
        <f>HYPERLINK("http://slimages.macys.com/is/image/MCY/11798310 ")</f>
        <v xml:space="preserve">http://slimages.macys.com/is/image/MCY/11798310 </v>
      </c>
    </row>
    <row r="4" spans="1:12" ht="39.950000000000003" customHeight="1" x14ac:dyDescent="0.25">
      <c r="A4" s="6" t="s">
        <v>2622</v>
      </c>
      <c r="B4" s="7" t="s">
        <v>2623</v>
      </c>
      <c r="C4" s="8">
        <v>1</v>
      </c>
      <c r="D4" s="9">
        <v>249.99</v>
      </c>
      <c r="E4" s="8" t="s">
        <v>2624</v>
      </c>
      <c r="F4" s="7" t="s">
        <v>3600</v>
      </c>
      <c r="G4" s="10"/>
      <c r="H4" s="7" t="s">
        <v>3365</v>
      </c>
      <c r="I4" s="7" t="s">
        <v>3554</v>
      </c>
      <c r="J4" s="7" t="s">
        <v>3358</v>
      </c>
      <c r="K4" s="7"/>
      <c r="L4" s="11" t="str">
        <f>HYPERLINK("http://slimages.macys.com/is/image/MCY/10467376 ")</f>
        <v xml:space="preserve">http://slimages.macys.com/is/image/MCY/10467376 </v>
      </c>
    </row>
    <row r="5" spans="1:12" ht="39.950000000000003" customHeight="1" x14ac:dyDescent="0.25">
      <c r="A5" s="6" t="s">
        <v>2625</v>
      </c>
      <c r="B5" s="7" t="s">
        <v>2626</v>
      </c>
      <c r="C5" s="8">
        <v>1</v>
      </c>
      <c r="D5" s="9">
        <v>249.99</v>
      </c>
      <c r="E5" s="8" t="s">
        <v>2627</v>
      </c>
      <c r="F5" s="7" t="s">
        <v>3673</v>
      </c>
      <c r="G5" s="10"/>
      <c r="H5" s="7" t="s">
        <v>3365</v>
      </c>
      <c r="I5" s="7" t="s">
        <v>3554</v>
      </c>
      <c r="J5" s="7" t="s">
        <v>3358</v>
      </c>
      <c r="K5" s="7"/>
      <c r="L5" s="11" t="str">
        <f>HYPERLINK("http://slimages.macys.com/is/image/MCY/10467368 ")</f>
        <v xml:space="preserve">http://slimages.macys.com/is/image/MCY/10467368 </v>
      </c>
    </row>
    <row r="6" spans="1:12" ht="39.950000000000003" customHeight="1" x14ac:dyDescent="0.25">
      <c r="A6" s="6" t="s">
        <v>2628</v>
      </c>
      <c r="B6" s="7" t="s">
        <v>2629</v>
      </c>
      <c r="C6" s="8">
        <v>1</v>
      </c>
      <c r="D6" s="9">
        <v>199</v>
      </c>
      <c r="E6" s="8" t="s">
        <v>2630</v>
      </c>
      <c r="F6" s="7" t="s">
        <v>3531</v>
      </c>
      <c r="G6" s="10"/>
      <c r="H6" s="7" t="s">
        <v>3365</v>
      </c>
      <c r="I6" s="7" t="s">
        <v>3558</v>
      </c>
      <c r="J6" s="7" t="s">
        <v>3358</v>
      </c>
      <c r="K6" s="7" t="s">
        <v>2631</v>
      </c>
      <c r="L6" s="11" t="str">
        <f>HYPERLINK("http://slimages.macys.com/is/image/MCY/9706170 ")</f>
        <v xml:space="preserve">http://slimages.macys.com/is/image/MCY/9706170 </v>
      </c>
    </row>
    <row r="7" spans="1:12" ht="39.950000000000003" customHeight="1" x14ac:dyDescent="0.25">
      <c r="A7" s="6" t="s">
        <v>3381</v>
      </c>
      <c r="B7" s="7" t="s">
        <v>3382</v>
      </c>
      <c r="C7" s="8">
        <v>1</v>
      </c>
      <c r="D7" s="9">
        <v>249.99</v>
      </c>
      <c r="E7" s="8" t="s">
        <v>3383</v>
      </c>
      <c r="F7" s="7" t="s">
        <v>3384</v>
      </c>
      <c r="G7" s="10" t="s">
        <v>3364</v>
      </c>
      <c r="H7" s="7" t="s">
        <v>3365</v>
      </c>
      <c r="I7" s="7" t="s">
        <v>3385</v>
      </c>
      <c r="J7" s="7"/>
      <c r="K7" s="7"/>
      <c r="L7" s="11" t="str">
        <f>HYPERLINK("http://slimages.macys.com/is/image/MCY/17793762 ")</f>
        <v xml:space="preserve">http://slimages.macys.com/is/image/MCY/17793762 </v>
      </c>
    </row>
    <row r="8" spans="1:12" ht="39.950000000000003" customHeight="1" x14ac:dyDescent="0.25">
      <c r="A8" s="6" t="s">
        <v>2632</v>
      </c>
      <c r="B8" s="7" t="s">
        <v>2633</v>
      </c>
      <c r="C8" s="8">
        <v>1</v>
      </c>
      <c r="D8" s="9">
        <v>139.99</v>
      </c>
      <c r="E8" s="8" t="s">
        <v>2634</v>
      </c>
      <c r="F8" s="7" t="s">
        <v>3363</v>
      </c>
      <c r="G8" s="10"/>
      <c r="H8" s="7" t="s">
        <v>3427</v>
      </c>
      <c r="I8" s="7" t="s">
        <v>2401</v>
      </c>
      <c r="J8" s="7" t="s">
        <v>3358</v>
      </c>
      <c r="K8" s="7" t="s">
        <v>3521</v>
      </c>
      <c r="L8" s="11" t="str">
        <f>HYPERLINK("http://slimages.macys.com/is/image/MCY/8419187 ")</f>
        <v xml:space="preserve">http://slimages.macys.com/is/image/MCY/8419187 </v>
      </c>
    </row>
    <row r="9" spans="1:12" ht="39.950000000000003" customHeight="1" x14ac:dyDescent="0.25">
      <c r="A9" s="6" t="s">
        <v>2635</v>
      </c>
      <c r="B9" s="7" t="s">
        <v>2636</v>
      </c>
      <c r="C9" s="8">
        <v>1</v>
      </c>
      <c r="D9" s="9">
        <v>199.99</v>
      </c>
      <c r="E9" s="8" t="s">
        <v>2637</v>
      </c>
      <c r="F9" s="7" t="s">
        <v>3525</v>
      </c>
      <c r="G9" s="10" t="s">
        <v>3364</v>
      </c>
      <c r="H9" s="7" t="s">
        <v>3658</v>
      </c>
      <c r="I9" s="7" t="s">
        <v>3905</v>
      </c>
      <c r="J9" s="7"/>
      <c r="K9" s="7"/>
      <c r="L9" s="11" t="str">
        <f>HYPERLINK("http://slimages.macys.com/is/image/MCY/16792609 ")</f>
        <v xml:space="preserve">http://slimages.macys.com/is/image/MCY/16792609 </v>
      </c>
    </row>
    <row r="10" spans="1:12" ht="39.950000000000003" customHeight="1" x14ac:dyDescent="0.25">
      <c r="A10" s="6" t="s">
        <v>2638</v>
      </c>
      <c r="B10" s="7" t="s">
        <v>2639</v>
      </c>
      <c r="C10" s="8">
        <v>1</v>
      </c>
      <c r="D10" s="9">
        <v>169.99</v>
      </c>
      <c r="E10" s="8" t="s">
        <v>2640</v>
      </c>
      <c r="F10" s="7" t="s">
        <v>3363</v>
      </c>
      <c r="G10" s="10"/>
      <c r="H10" s="7" t="s">
        <v>3377</v>
      </c>
      <c r="I10" s="7" t="s">
        <v>3472</v>
      </c>
      <c r="J10" s="7" t="s">
        <v>3358</v>
      </c>
      <c r="K10" s="7" t="s">
        <v>2641</v>
      </c>
      <c r="L10" s="11" t="str">
        <f>HYPERLINK("http://slimages.macys.com/is/image/MCY/11935772 ")</f>
        <v xml:space="preserve">http://slimages.macys.com/is/image/MCY/11935772 </v>
      </c>
    </row>
    <row r="11" spans="1:12" ht="39.950000000000003" customHeight="1" x14ac:dyDescent="0.25">
      <c r="A11" s="6" t="s">
        <v>2642</v>
      </c>
      <c r="B11" s="7" t="s">
        <v>2643</v>
      </c>
      <c r="C11" s="8">
        <v>1</v>
      </c>
      <c r="D11" s="9">
        <v>99.99</v>
      </c>
      <c r="E11" s="8">
        <v>207900</v>
      </c>
      <c r="F11" s="7" t="s">
        <v>3355</v>
      </c>
      <c r="G11" s="10"/>
      <c r="H11" s="7" t="s">
        <v>3492</v>
      </c>
      <c r="I11" s="7" t="s">
        <v>2644</v>
      </c>
      <c r="J11" s="7" t="s">
        <v>3358</v>
      </c>
      <c r="K11" s="7" t="s">
        <v>3521</v>
      </c>
      <c r="L11" s="11" t="str">
        <f>HYPERLINK("http://slimages.macys.com/is/image/MCY/13766798 ")</f>
        <v xml:space="preserve">http://slimages.macys.com/is/image/MCY/13766798 </v>
      </c>
    </row>
    <row r="12" spans="1:12" ht="39.950000000000003" customHeight="1" x14ac:dyDescent="0.25">
      <c r="A12" s="6" t="s">
        <v>2645</v>
      </c>
      <c r="B12" s="7" t="s">
        <v>2646</v>
      </c>
      <c r="C12" s="8">
        <v>1</v>
      </c>
      <c r="D12" s="9">
        <v>179.99</v>
      </c>
      <c r="E12" s="8" t="s">
        <v>2647</v>
      </c>
      <c r="F12" s="7" t="s">
        <v>3355</v>
      </c>
      <c r="G12" s="10"/>
      <c r="H12" s="7" t="s">
        <v>3365</v>
      </c>
      <c r="I12" s="7" t="s">
        <v>3385</v>
      </c>
      <c r="J12" s="7" t="s">
        <v>3358</v>
      </c>
      <c r="K12" s="7"/>
      <c r="L12" s="11" t="str">
        <f>HYPERLINK("http://slimages.macys.com/is/image/MCY/9019684 ")</f>
        <v xml:space="preserve">http://slimages.macys.com/is/image/MCY/9019684 </v>
      </c>
    </row>
    <row r="13" spans="1:12" ht="39.950000000000003" customHeight="1" x14ac:dyDescent="0.25">
      <c r="A13" s="6" t="s">
        <v>2648</v>
      </c>
      <c r="B13" s="7" t="s">
        <v>2649</v>
      </c>
      <c r="C13" s="8">
        <v>1</v>
      </c>
      <c r="D13" s="9">
        <v>109.99</v>
      </c>
      <c r="E13" s="8" t="s">
        <v>2650</v>
      </c>
      <c r="F13" s="7" t="s">
        <v>3355</v>
      </c>
      <c r="G13" s="10"/>
      <c r="H13" s="7" t="s">
        <v>3601</v>
      </c>
      <c r="I13" s="7" t="s">
        <v>3602</v>
      </c>
      <c r="J13" s="7" t="s">
        <v>3358</v>
      </c>
      <c r="K13" s="7"/>
      <c r="L13" s="11" t="str">
        <f>HYPERLINK("http://slimages.macys.com/is/image/MCY/11534834 ")</f>
        <v xml:space="preserve">http://slimages.macys.com/is/image/MCY/11534834 </v>
      </c>
    </row>
    <row r="14" spans="1:12" ht="39.950000000000003" customHeight="1" x14ac:dyDescent="0.25">
      <c r="A14" s="6" t="s">
        <v>2651</v>
      </c>
      <c r="B14" s="7" t="s">
        <v>2652</v>
      </c>
      <c r="C14" s="8">
        <v>1</v>
      </c>
      <c r="D14" s="9">
        <v>99.99</v>
      </c>
      <c r="E14" s="8" t="s">
        <v>2653</v>
      </c>
      <c r="F14" s="7" t="s">
        <v>3617</v>
      </c>
      <c r="G14" s="10"/>
      <c r="H14" s="7" t="s">
        <v>3408</v>
      </c>
      <c r="I14" s="7" t="s">
        <v>3409</v>
      </c>
      <c r="J14" s="7" t="s">
        <v>3358</v>
      </c>
      <c r="K14" s="7" t="s">
        <v>3521</v>
      </c>
      <c r="L14" s="11" t="str">
        <f>HYPERLINK("http://slimages.macys.com/is/image/MCY/9855038 ")</f>
        <v xml:space="preserve">http://slimages.macys.com/is/image/MCY/9855038 </v>
      </c>
    </row>
    <row r="15" spans="1:12" ht="39.950000000000003" customHeight="1" x14ac:dyDescent="0.25">
      <c r="A15" s="6" t="s">
        <v>2654</v>
      </c>
      <c r="B15" s="7" t="s">
        <v>2655</v>
      </c>
      <c r="C15" s="8">
        <v>1</v>
      </c>
      <c r="D15" s="9">
        <v>99.99</v>
      </c>
      <c r="E15" s="8" t="s">
        <v>2656</v>
      </c>
      <c r="F15" s="7" t="s">
        <v>3531</v>
      </c>
      <c r="G15" s="10"/>
      <c r="H15" s="7" t="s">
        <v>3601</v>
      </c>
      <c r="I15" s="7" t="s">
        <v>2657</v>
      </c>
      <c r="J15" s="7" t="s">
        <v>3358</v>
      </c>
      <c r="K15" s="7"/>
      <c r="L15" s="11" t="str">
        <f>HYPERLINK("http://slimages.macys.com/is/image/MCY/8813910 ")</f>
        <v xml:space="preserve">http://slimages.macys.com/is/image/MCY/8813910 </v>
      </c>
    </row>
    <row r="16" spans="1:12" ht="39.950000000000003" customHeight="1" x14ac:dyDescent="0.25">
      <c r="A16" s="6" t="s">
        <v>2658</v>
      </c>
      <c r="B16" s="7" t="s">
        <v>2659</v>
      </c>
      <c r="C16" s="8">
        <v>1</v>
      </c>
      <c r="D16" s="9">
        <v>109.99</v>
      </c>
      <c r="E16" s="8" t="s">
        <v>2660</v>
      </c>
      <c r="F16" s="7"/>
      <c r="G16" s="10"/>
      <c r="H16" s="7" t="s">
        <v>3412</v>
      </c>
      <c r="I16" s="7" t="s">
        <v>3436</v>
      </c>
      <c r="J16" s="7"/>
      <c r="K16" s="7"/>
      <c r="L16" s="11" t="str">
        <f>HYPERLINK("http://slimages.macys.com/is/image/MCY/17900439 ")</f>
        <v xml:space="preserve">http://slimages.macys.com/is/image/MCY/17900439 </v>
      </c>
    </row>
    <row r="17" spans="1:12" ht="39.950000000000003" customHeight="1" x14ac:dyDescent="0.25">
      <c r="A17" s="6" t="s">
        <v>2661</v>
      </c>
      <c r="B17" s="7" t="s">
        <v>2662</v>
      </c>
      <c r="C17" s="8">
        <v>1</v>
      </c>
      <c r="D17" s="9">
        <v>99.99</v>
      </c>
      <c r="E17" s="8">
        <v>2000000050</v>
      </c>
      <c r="F17" s="7" t="s">
        <v>2663</v>
      </c>
      <c r="G17" s="10"/>
      <c r="H17" s="7" t="s">
        <v>3412</v>
      </c>
      <c r="I17" s="7" t="s">
        <v>3413</v>
      </c>
      <c r="J17" s="7"/>
      <c r="K17" s="7"/>
      <c r="L17" s="11" t="str">
        <f>HYPERLINK("http://slimages.macys.com/is/image/MCY/17862244 ")</f>
        <v xml:space="preserve">http://slimages.macys.com/is/image/MCY/17862244 </v>
      </c>
    </row>
    <row r="18" spans="1:12" ht="39.950000000000003" customHeight="1" x14ac:dyDescent="0.25">
      <c r="A18" s="6" t="s">
        <v>2664</v>
      </c>
      <c r="B18" s="7" t="s">
        <v>2665</v>
      </c>
      <c r="C18" s="8">
        <v>1</v>
      </c>
      <c r="D18" s="9">
        <v>99.99</v>
      </c>
      <c r="E18" s="8" t="s">
        <v>2666</v>
      </c>
      <c r="F18" s="7" t="s">
        <v>3355</v>
      </c>
      <c r="G18" s="10"/>
      <c r="H18" s="7" t="s">
        <v>3601</v>
      </c>
      <c r="I18" s="7" t="s">
        <v>3602</v>
      </c>
      <c r="J18" s="7" t="s">
        <v>3358</v>
      </c>
      <c r="K18" s="7"/>
      <c r="L18" s="11" t="str">
        <f>HYPERLINK("http://slimages.macys.com/is/image/MCY/11534834 ")</f>
        <v xml:space="preserve">http://slimages.macys.com/is/image/MCY/11534834 </v>
      </c>
    </row>
    <row r="19" spans="1:12" ht="39.950000000000003" customHeight="1" x14ac:dyDescent="0.25">
      <c r="A19" s="6" t="s">
        <v>2667</v>
      </c>
      <c r="B19" s="7" t="s">
        <v>2668</v>
      </c>
      <c r="C19" s="8">
        <v>1</v>
      </c>
      <c r="D19" s="9">
        <v>84.99</v>
      </c>
      <c r="E19" s="8" t="s">
        <v>2669</v>
      </c>
      <c r="F19" s="7" t="s">
        <v>3498</v>
      </c>
      <c r="G19" s="10"/>
      <c r="H19" s="7" t="s">
        <v>3471</v>
      </c>
      <c r="I19" s="7" t="s">
        <v>3378</v>
      </c>
      <c r="J19" s="7"/>
      <c r="K19" s="7"/>
      <c r="L19" s="11" t="str">
        <f>HYPERLINK("http://slimages.macys.com/is/image/MCY/180745 ")</f>
        <v xml:space="preserve">http://slimages.macys.com/is/image/MCY/180745 </v>
      </c>
    </row>
    <row r="20" spans="1:12" ht="39.950000000000003" customHeight="1" x14ac:dyDescent="0.25">
      <c r="A20" s="6" t="s">
        <v>3414</v>
      </c>
      <c r="B20" s="7" t="s">
        <v>3415</v>
      </c>
      <c r="C20" s="8">
        <v>1</v>
      </c>
      <c r="D20" s="9">
        <v>99.99</v>
      </c>
      <c r="E20" s="8" t="s">
        <v>3416</v>
      </c>
      <c r="F20" s="7" t="s">
        <v>3417</v>
      </c>
      <c r="G20" s="10"/>
      <c r="H20" s="7" t="s">
        <v>3418</v>
      </c>
      <c r="I20" s="7" t="s">
        <v>3419</v>
      </c>
      <c r="J20" s="7"/>
      <c r="K20" s="7"/>
      <c r="L20" s="11" t="str">
        <f>HYPERLINK("http://slimages.macys.com/is/image/MCY/18097083 ")</f>
        <v xml:space="preserve">http://slimages.macys.com/is/image/MCY/18097083 </v>
      </c>
    </row>
    <row r="21" spans="1:12" ht="39.950000000000003" customHeight="1" x14ac:dyDescent="0.25">
      <c r="A21" s="6" t="s">
        <v>2670</v>
      </c>
      <c r="B21" s="7" t="s">
        <v>2671</v>
      </c>
      <c r="C21" s="8">
        <v>1</v>
      </c>
      <c r="D21" s="9">
        <v>78.11</v>
      </c>
      <c r="E21" s="8" t="s">
        <v>2672</v>
      </c>
      <c r="F21" s="7"/>
      <c r="G21" s="10"/>
      <c r="H21" s="7" t="s">
        <v>3412</v>
      </c>
      <c r="I21" s="7" t="s">
        <v>2484</v>
      </c>
      <c r="J21" s="7" t="s">
        <v>3358</v>
      </c>
      <c r="K21" s="7" t="s">
        <v>2673</v>
      </c>
      <c r="L21" s="11" t="str">
        <f>HYPERLINK("http://slimages.macys.com/is/image/MCY/14330403 ")</f>
        <v xml:space="preserve">http://slimages.macys.com/is/image/MCY/14330403 </v>
      </c>
    </row>
    <row r="22" spans="1:12" ht="39.950000000000003" customHeight="1" x14ac:dyDescent="0.25">
      <c r="A22" s="6" t="s">
        <v>2674</v>
      </c>
      <c r="B22" s="7" t="s">
        <v>2675</v>
      </c>
      <c r="C22" s="8">
        <v>1</v>
      </c>
      <c r="D22" s="9">
        <v>129.99</v>
      </c>
      <c r="E22" s="8" t="s">
        <v>2676</v>
      </c>
      <c r="F22" s="7" t="s">
        <v>3600</v>
      </c>
      <c r="G22" s="10"/>
      <c r="H22" s="7" t="s">
        <v>3601</v>
      </c>
      <c r="I22" s="7" t="s">
        <v>3602</v>
      </c>
      <c r="J22" s="7" t="s">
        <v>3358</v>
      </c>
      <c r="K22" s="7" t="s">
        <v>3521</v>
      </c>
      <c r="L22" s="11" t="str">
        <f>HYPERLINK("http://slimages.macys.com/is/image/MCY/15389610 ")</f>
        <v xml:space="preserve">http://slimages.macys.com/is/image/MCY/15389610 </v>
      </c>
    </row>
    <row r="23" spans="1:12" ht="39.950000000000003" customHeight="1" x14ac:dyDescent="0.25">
      <c r="A23" s="6" t="s">
        <v>2677</v>
      </c>
      <c r="B23" s="7" t="s">
        <v>2678</v>
      </c>
      <c r="C23" s="8">
        <v>1</v>
      </c>
      <c r="D23" s="9">
        <v>129.99</v>
      </c>
      <c r="E23" s="8" t="s">
        <v>2679</v>
      </c>
      <c r="F23" s="7" t="s">
        <v>3363</v>
      </c>
      <c r="G23" s="10"/>
      <c r="H23" s="7" t="s">
        <v>3601</v>
      </c>
      <c r="I23" s="7" t="s">
        <v>3602</v>
      </c>
      <c r="J23" s="7" t="s">
        <v>3358</v>
      </c>
      <c r="K23" s="7" t="s">
        <v>3603</v>
      </c>
      <c r="L23" s="11" t="str">
        <f>HYPERLINK("http://slimages.macys.com/is/image/MCY/15862594 ")</f>
        <v xml:space="preserve">http://slimages.macys.com/is/image/MCY/15862594 </v>
      </c>
    </row>
    <row r="24" spans="1:12" ht="39.950000000000003" customHeight="1" x14ac:dyDescent="0.25">
      <c r="A24" s="6" t="s">
        <v>2680</v>
      </c>
      <c r="B24" s="7" t="s">
        <v>2681</v>
      </c>
      <c r="C24" s="8">
        <v>1</v>
      </c>
      <c r="D24" s="9">
        <v>87.99</v>
      </c>
      <c r="E24" s="8" t="s">
        <v>2682</v>
      </c>
      <c r="F24" s="7" t="s">
        <v>3363</v>
      </c>
      <c r="G24" s="10" t="s">
        <v>3645</v>
      </c>
      <c r="H24" s="7" t="s">
        <v>3388</v>
      </c>
      <c r="I24" s="7" t="s">
        <v>3664</v>
      </c>
      <c r="J24" s="7" t="s">
        <v>3692</v>
      </c>
      <c r="K24" s="7" t="s">
        <v>2683</v>
      </c>
      <c r="L24" s="11" t="str">
        <f>HYPERLINK("http://slimages.macys.com/is/image/MCY/11798194 ")</f>
        <v xml:space="preserve">http://slimages.macys.com/is/image/MCY/11798194 </v>
      </c>
    </row>
    <row r="25" spans="1:12" ht="39.950000000000003" customHeight="1" x14ac:dyDescent="0.25">
      <c r="A25" s="6" t="s">
        <v>3420</v>
      </c>
      <c r="B25" s="7" t="s">
        <v>3421</v>
      </c>
      <c r="C25" s="8">
        <v>1</v>
      </c>
      <c r="D25" s="9">
        <v>44.99</v>
      </c>
      <c r="E25" s="8">
        <v>4402</v>
      </c>
      <c r="F25" s="7" t="s">
        <v>3363</v>
      </c>
      <c r="G25" s="10"/>
      <c r="H25" s="7" t="s">
        <v>3422</v>
      </c>
      <c r="I25" s="7" t="s">
        <v>3423</v>
      </c>
      <c r="J25" s="7" t="s">
        <v>3358</v>
      </c>
      <c r="K25" s="7"/>
      <c r="L25" s="11" t="str">
        <f>HYPERLINK("http://slimages.macys.com/is/image/MCY/9873929 ")</f>
        <v xml:space="preserve">http://slimages.macys.com/is/image/MCY/9873929 </v>
      </c>
    </row>
    <row r="26" spans="1:12" ht="39.950000000000003" customHeight="1" x14ac:dyDescent="0.25">
      <c r="A26" s="6" t="s">
        <v>2684</v>
      </c>
      <c r="B26" s="7" t="s">
        <v>2685</v>
      </c>
      <c r="C26" s="8">
        <v>1</v>
      </c>
      <c r="D26" s="9">
        <v>89.99</v>
      </c>
      <c r="E26" s="8" t="s">
        <v>2686</v>
      </c>
      <c r="F26" s="7" t="s">
        <v>3921</v>
      </c>
      <c r="G26" s="10"/>
      <c r="H26" s="7" t="s">
        <v>3408</v>
      </c>
      <c r="I26" s="7" t="s">
        <v>4354</v>
      </c>
      <c r="J26" s="7" t="s">
        <v>3358</v>
      </c>
      <c r="K26" s="7" t="s">
        <v>3582</v>
      </c>
      <c r="L26" s="11" t="str">
        <f>HYPERLINK("http://slimages.macys.com/is/image/MCY/17754899 ")</f>
        <v xml:space="preserve">http://slimages.macys.com/is/image/MCY/17754899 </v>
      </c>
    </row>
    <row r="27" spans="1:12" ht="39.950000000000003" customHeight="1" x14ac:dyDescent="0.25">
      <c r="A27" s="6" t="s">
        <v>2687</v>
      </c>
      <c r="B27" s="7" t="s">
        <v>2688</v>
      </c>
      <c r="C27" s="8">
        <v>1</v>
      </c>
      <c r="D27" s="9">
        <v>69.989999999999995</v>
      </c>
      <c r="E27" s="8" t="s">
        <v>2689</v>
      </c>
      <c r="F27" s="7" t="s">
        <v>3525</v>
      </c>
      <c r="G27" s="10"/>
      <c r="H27" s="7" t="s">
        <v>3658</v>
      </c>
      <c r="I27" s="7" t="s">
        <v>2690</v>
      </c>
      <c r="J27" s="7" t="s">
        <v>3358</v>
      </c>
      <c r="K27" s="7"/>
      <c r="L27" s="11" t="str">
        <f>HYPERLINK("http://slimages.macys.com/is/image/MCY/10656684 ")</f>
        <v xml:space="preserve">http://slimages.macys.com/is/image/MCY/10656684 </v>
      </c>
    </row>
    <row r="28" spans="1:12" ht="39.950000000000003" customHeight="1" x14ac:dyDescent="0.25">
      <c r="A28" s="6" t="s">
        <v>2691</v>
      </c>
      <c r="B28" s="7" t="s">
        <v>2692</v>
      </c>
      <c r="C28" s="8">
        <v>1</v>
      </c>
      <c r="D28" s="9">
        <v>55.99</v>
      </c>
      <c r="E28" s="8" t="s">
        <v>2693</v>
      </c>
      <c r="F28" s="7" t="s">
        <v>3525</v>
      </c>
      <c r="G28" s="10"/>
      <c r="H28" s="7" t="s">
        <v>3526</v>
      </c>
      <c r="I28" s="7" t="s">
        <v>2694</v>
      </c>
      <c r="J28" s="7" t="s">
        <v>3358</v>
      </c>
      <c r="K28" s="7" t="s">
        <v>3484</v>
      </c>
      <c r="L28" s="11" t="str">
        <f>HYPERLINK("http://slimages.macys.com/is/image/MCY/11319419 ")</f>
        <v xml:space="preserve">http://slimages.macys.com/is/image/MCY/11319419 </v>
      </c>
    </row>
    <row r="29" spans="1:12" ht="39.950000000000003" customHeight="1" x14ac:dyDescent="0.25">
      <c r="A29" s="6" t="s">
        <v>2695</v>
      </c>
      <c r="B29" s="7" t="s">
        <v>2696</v>
      </c>
      <c r="C29" s="8">
        <v>1</v>
      </c>
      <c r="D29" s="9">
        <v>59.99</v>
      </c>
      <c r="E29" s="8" t="s">
        <v>2697</v>
      </c>
      <c r="F29" s="7" t="s">
        <v>3498</v>
      </c>
      <c r="G29" s="10"/>
      <c r="H29" s="7" t="s">
        <v>3526</v>
      </c>
      <c r="I29" s="7" t="s">
        <v>3865</v>
      </c>
      <c r="J29" s="7" t="s">
        <v>3358</v>
      </c>
      <c r="K29" s="7" t="s">
        <v>4002</v>
      </c>
      <c r="L29" s="11" t="str">
        <f>HYPERLINK("http://slimages.macys.com/is/image/MCY/13036438 ")</f>
        <v xml:space="preserve">http://slimages.macys.com/is/image/MCY/13036438 </v>
      </c>
    </row>
    <row r="30" spans="1:12" ht="39.950000000000003" customHeight="1" x14ac:dyDescent="0.25">
      <c r="A30" s="6" t="s">
        <v>2698</v>
      </c>
      <c r="B30" s="7" t="s">
        <v>2699</v>
      </c>
      <c r="C30" s="8">
        <v>1</v>
      </c>
      <c r="D30" s="9">
        <v>53.99</v>
      </c>
      <c r="E30" s="8" t="s">
        <v>2700</v>
      </c>
      <c r="F30" s="7" t="s">
        <v>3921</v>
      </c>
      <c r="G30" s="10"/>
      <c r="H30" s="7" t="s">
        <v>3526</v>
      </c>
      <c r="I30" s="7" t="s">
        <v>3900</v>
      </c>
      <c r="J30" s="7" t="s">
        <v>3358</v>
      </c>
      <c r="K30" s="7" t="s">
        <v>3901</v>
      </c>
      <c r="L30" s="11" t="str">
        <f>HYPERLINK("http://slimages.macys.com/is/image/MCY/12902077 ")</f>
        <v xml:space="preserve">http://slimages.macys.com/is/image/MCY/12902077 </v>
      </c>
    </row>
    <row r="31" spans="1:12" ht="39.950000000000003" customHeight="1" x14ac:dyDescent="0.25">
      <c r="A31" s="6" t="s">
        <v>2701</v>
      </c>
      <c r="B31" s="7" t="s">
        <v>2702</v>
      </c>
      <c r="C31" s="8">
        <v>1</v>
      </c>
      <c r="D31" s="9">
        <v>78.989999999999995</v>
      </c>
      <c r="E31" s="8" t="s">
        <v>2703</v>
      </c>
      <c r="F31" s="7" t="s">
        <v>3363</v>
      </c>
      <c r="G31" s="10" t="s">
        <v>2704</v>
      </c>
      <c r="H31" s="7" t="s">
        <v>3492</v>
      </c>
      <c r="I31" s="7" t="s">
        <v>2705</v>
      </c>
      <c r="J31" s="7" t="s">
        <v>3358</v>
      </c>
      <c r="K31" s="7" t="s">
        <v>2706</v>
      </c>
      <c r="L31" s="11" t="str">
        <f>HYPERLINK("http://slimages.macys.com/is/image/MCY/16509024 ")</f>
        <v xml:space="preserve">http://slimages.macys.com/is/image/MCY/16509024 </v>
      </c>
    </row>
    <row r="32" spans="1:12" ht="39.950000000000003" customHeight="1" x14ac:dyDescent="0.25">
      <c r="A32" s="6" t="s">
        <v>2707</v>
      </c>
      <c r="B32" s="7" t="s">
        <v>2708</v>
      </c>
      <c r="C32" s="8">
        <v>1</v>
      </c>
      <c r="D32" s="9">
        <v>75.989999999999995</v>
      </c>
      <c r="E32" s="8" t="s">
        <v>2709</v>
      </c>
      <c r="F32" s="7" t="s">
        <v>3840</v>
      </c>
      <c r="G32" s="10"/>
      <c r="H32" s="7" t="s">
        <v>3492</v>
      </c>
      <c r="I32" s="7" t="s">
        <v>3841</v>
      </c>
      <c r="J32" s="7" t="s">
        <v>3358</v>
      </c>
      <c r="K32" s="7" t="s">
        <v>3506</v>
      </c>
      <c r="L32" s="11" t="str">
        <f>HYPERLINK("http://slimages.macys.com/is/image/MCY/11705323 ")</f>
        <v xml:space="preserve">http://slimages.macys.com/is/image/MCY/11705323 </v>
      </c>
    </row>
    <row r="33" spans="1:12" ht="39.950000000000003" customHeight="1" x14ac:dyDescent="0.25">
      <c r="A33" s="6" t="s">
        <v>4082</v>
      </c>
      <c r="B33" s="7" t="s">
        <v>4083</v>
      </c>
      <c r="C33" s="8">
        <v>1</v>
      </c>
      <c r="D33" s="9">
        <v>62.99</v>
      </c>
      <c r="E33" s="8" t="s">
        <v>4084</v>
      </c>
      <c r="F33" s="7" t="s">
        <v>3363</v>
      </c>
      <c r="G33" s="10" t="s">
        <v>4085</v>
      </c>
      <c r="H33" s="7" t="s">
        <v>3388</v>
      </c>
      <c r="I33" s="7" t="s">
        <v>3664</v>
      </c>
      <c r="J33" s="7" t="s">
        <v>3358</v>
      </c>
      <c r="K33" s="7" t="s">
        <v>3506</v>
      </c>
      <c r="L33" s="11" t="str">
        <f>HYPERLINK("http://slimages.macys.com/is/image/MCY/11798760 ")</f>
        <v xml:space="preserve">http://slimages.macys.com/is/image/MCY/11798760 </v>
      </c>
    </row>
    <row r="34" spans="1:12" ht="39.950000000000003" customHeight="1" x14ac:dyDescent="0.25">
      <c r="A34" s="6" t="s">
        <v>2710</v>
      </c>
      <c r="B34" s="7" t="s">
        <v>2711</v>
      </c>
      <c r="C34" s="8">
        <v>1</v>
      </c>
      <c r="D34" s="9">
        <v>79.989999999999995</v>
      </c>
      <c r="E34" s="8" t="s">
        <v>2712</v>
      </c>
      <c r="F34" s="7" t="s">
        <v>3673</v>
      </c>
      <c r="G34" s="10"/>
      <c r="H34" s="7" t="s">
        <v>3365</v>
      </c>
      <c r="I34" s="7" t="s">
        <v>3554</v>
      </c>
      <c r="J34" s="7" t="s">
        <v>3358</v>
      </c>
      <c r="K34" s="7"/>
      <c r="L34" s="11" t="str">
        <f>HYPERLINK("http://slimages.macys.com/is/image/MCY/10468066 ")</f>
        <v xml:space="preserve">http://slimages.macys.com/is/image/MCY/10468066 </v>
      </c>
    </row>
    <row r="35" spans="1:12" ht="39.950000000000003" customHeight="1" x14ac:dyDescent="0.25">
      <c r="A35" s="6" t="s">
        <v>2713</v>
      </c>
      <c r="B35" s="7" t="s">
        <v>2714</v>
      </c>
      <c r="C35" s="8">
        <v>1</v>
      </c>
      <c r="D35" s="9">
        <v>47.99</v>
      </c>
      <c r="E35" s="8" t="s">
        <v>2715</v>
      </c>
      <c r="F35" s="7" t="s">
        <v>3899</v>
      </c>
      <c r="G35" s="10"/>
      <c r="H35" s="7" t="s">
        <v>3526</v>
      </c>
      <c r="I35" s="7" t="s">
        <v>3900</v>
      </c>
      <c r="J35" s="7" t="s">
        <v>3358</v>
      </c>
      <c r="K35" s="7" t="s">
        <v>3901</v>
      </c>
      <c r="L35" s="11" t="str">
        <f>HYPERLINK("http://slimages.macys.com/is/image/MCY/12902254 ")</f>
        <v xml:space="preserve">http://slimages.macys.com/is/image/MCY/12902254 </v>
      </c>
    </row>
    <row r="36" spans="1:12" ht="39.950000000000003" customHeight="1" x14ac:dyDescent="0.25">
      <c r="A36" s="6" t="s">
        <v>2716</v>
      </c>
      <c r="B36" s="7" t="s">
        <v>2717</v>
      </c>
      <c r="C36" s="8">
        <v>1</v>
      </c>
      <c r="D36" s="9">
        <v>69.989999999999995</v>
      </c>
      <c r="E36" s="8" t="s">
        <v>2718</v>
      </c>
      <c r="F36" s="7" t="s">
        <v>3407</v>
      </c>
      <c r="G36" s="10"/>
      <c r="H36" s="7" t="s">
        <v>3408</v>
      </c>
      <c r="I36" s="7" t="s">
        <v>4354</v>
      </c>
      <c r="J36" s="7" t="s">
        <v>3358</v>
      </c>
      <c r="K36" s="7" t="s">
        <v>3582</v>
      </c>
      <c r="L36" s="11" t="str">
        <f>HYPERLINK("http://slimages.macys.com/is/image/MCY/9940182 ")</f>
        <v xml:space="preserve">http://slimages.macys.com/is/image/MCY/9940182 </v>
      </c>
    </row>
    <row r="37" spans="1:12" ht="39.950000000000003" customHeight="1" x14ac:dyDescent="0.25">
      <c r="A37" s="6" t="s">
        <v>2719</v>
      </c>
      <c r="B37" s="7" t="s">
        <v>2720</v>
      </c>
      <c r="C37" s="8">
        <v>1</v>
      </c>
      <c r="D37" s="9">
        <v>73.989999999999995</v>
      </c>
      <c r="E37" s="8" t="s">
        <v>2721</v>
      </c>
      <c r="F37" s="7" t="s">
        <v>3384</v>
      </c>
      <c r="G37" s="10"/>
      <c r="H37" s="7" t="s">
        <v>3412</v>
      </c>
      <c r="I37" s="7" t="s">
        <v>3436</v>
      </c>
      <c r="J37" s="7" t="s">
        <v>3358</v>
      </c>
      <c r="K37" s="7" t="s">
        <v>2722</v>
      </c>
      <c r="L37" s="11" t="str">
        <f>HYPERLINK("http://slimages.macys.com/is/image/MCY/10074266 ")</f>
        <v xml:space="preserve">http://slimages.macys.com/is/image/MCY/10074266 </v>
      </c>
    </row>
    <row r="38" spans="1:12" ht="39.950000000000003" customHeight="1" x14ac:dyDescent="0.25">
      <c r="A38" s="6" t="s">
        <v>2723</v>
      </c>
      <c r="B38" s="7" t="s">
        <v>2724</v>
      </c>
      <c r="C38" s="8">
        <v>2</v>
      </c>
      <c r="D38" s="9">
        <v>159.97999999999999</v>
      </c>
      <c r="E38" s="8" t="s">
        <v>2725</v>
      </c>
      <c r="F38" s="7" t="s">
        <v>3477</v>
      </c>
      <c r="G38" s="10"/>
      <c r="H38" s="7" t="s">
        <v>3658</v>
      </c>
      <c r="I38" s="7" t="s">
        <v>3659</v>
      </c>
      <c r="J38" s="7" t="s">
        <v>3751</v>
      </c>
      <c r="K38" s="7" t="s">
        <v>2726</v>
      </c>
      <c r="L38" s="11" t="str">
        <f>HYPERLINK("http://slimages.macys.com/is/image/MCY/9935614 ")</f>
        <v xml:space="preserve">http://slimages.macys.com/is/image/MCY/9935614 </v>
      </c>
    </row>
    <row r="39" spans="1:12" ht="39.950000000000003" customHeight="1" x14ac:dyDescent="0.25">
      <c r="A39" s="6" t="s">
        <v>2727</v>
      </c>
      <c r="B39" s="7" t="s">
        <v>2728</v>
      </c>
      <c r="C39" s="8">
        <v>1</v>
      </c>
      <c r="D39" s="9">
        <v>89.99</v>
      </c>
      <c r="E39" s="8" t="s">
        <v>2729</v>
      </c>
      <c r="F39" s="7" t="s">
        <v>3925</v>
      </c>
      <c r="G39" s="10"/>
      <c r="H39" s="7" t="s">
        <v>3365</v>
      </c>
      <c r="I39" s="7" t="s">
        <v>3554</v>
      </c>
      <c r="J39" s="7" t="s">
        <v>3358</v>
      </c>
      <c r="K39" s="7" t="s">
        <v>2730</v>
      </c>
      <c r="L39" s="11" t="str">
        <f>HYPERLINK("http://slimages.macys.com/is/image/MCY/8453087 ")</f>
        <v xml:space="preserve">http://slimages.macys.com/is/image/MCY/8453087 </v>
      </c>
    </row>
    <row r="40" spans="1:12" ht="39.950000000000003" customHeight="1" x14ac:dyDescent="0.25">
      <c r="A40" s="6" t="s">
        <v>2731</v>
      </c>
      <c r="B40" s="7" t="s">
        <v>2732</v>
      </c>
      <c r="C40" s="8">
        <v>1</v>
      </c>
      <c r="D40" s="9">
        <v>79.989999999999995</v>
      </c>
      <c r="E40" s="8" t="s">
        <v>2733</v>
      </c>
      <c r="F40" s="7" t="s">
        <v>3600</v>
      </c>
      <c r="G40" s="10"/>
      <c r="H40" s="7" t="s">
        <v>3365</v>
      </c>
      <c r="I40" s="7" t="s">
        <v>3554</v>
      </c>
      <c r="J40" s="7" t="s">
        <v>3358</v>
      </c>
      <c r="K40" s="7"/>
      <c r="L40" s="11" t="str">
        <f>HYPERLINK("http://slimages.macys.com/is/image/MCY/10468085 ")</f>
        <v xml:space="preserve">http://slimages.macys.com/is/image/MCY/10468085 </v>
      </c>
    </row>
    <row r="41" spans="1:12" ht="39.950000000000003" customHeight="1" x14ac:dyDescent="0.25">
      <c r="A41" s="6" t="s">
        <v>2734</v>
      </c>
      <c r="B41" s="7" t="s">
        <v>2735</v>
      </c>
      <c r="C41" s="8">
        <v>1</v>
      </c>
      <c r="D41" s="9">
        <v>34.99</v>
      </c>
      <c r="E41" s="8" t="s">
        <v>2736</v>
      </c>
      <c r="F41" s="7" t="s">
        <v>3363</v>
      </c>
      <c r="G41" s="10"/>
      <c r="H41" s="7" t="s">
        <v>3526</v>
      </c>
      <c r="I41" s="7" t="s">
        <v>3900</v>
      </c>
      <c r="J41" s="7" t="s">
        <v>3358</v>
      </c>
      <c r="K41" s="7" t="s">
        <v>3901</v>
      </c>
      <c r="L41" s="11" t="str">
        <f>HYPERLINK("http://slimages.macys.com/is/image/MCY/13793207 ")</f>
        <v xml:space="preserve">http://slimages.macys.com/is/image/MCY/13793207 </v>
      </c>
    </row>
    <row r="42" spans="1:12" ht="39.950000000000003" customHeight="1" x14ac:dyDescent="0.25">
      <c r="A42" s="6" t="s">
        <v>4315</v>
      </c>
      <c r="B42" s="7" t="s">
        <v>4316</v>
      </c>
      <c r="C42" s="8">
        <v>2</v>
      </c>
      <c r="D42" s="9">
        <v>159.97999999999999</v>
      </c>
      <c r="E42" s="8" t="s">
        <v>4317</v>
      </c>
      <c r="F42" s="7" t="s">
        <v>3600</v>
      </c>
      <c r="G42" s="10"/>
      <c r="H42" s="7" t="s">
        <v>3365</v>
      </c>
      <c r="I42" s="7" t="s">
        <v>3554</v>
      </c>
      <c r="J42" s="7" t="s">
        <v>3358</v>
      </c>
      <c r="K42" s="7" t="s">
        <v>4318</v>
      </c>
      <c r="L42" s="11" t="str">
        <f>HYPERLINK("http://slimages.macys.com/is/image/MCY/10468088 ")</f>
        <v xml:space="preserve">http://slimages.macys.com/is/image/MCY/10468088 </v>
      </c>
    </row>
    <row r="43" spans="1:12" ht="39.950000000000003" customHeight="1" x14ac:dyDescent="0.25">
      <c r="A43" s="6" t="s">
        <v>2737</v>
      </c>
      <c r="B43" s="7" t="s">
        <v>2738</v>
      </c>
      <c r="C43" s="8">
        <v>1</v>
      </c>
      <c r="D43" s="9">
        <v>29.99</v>
      </c>
      <c r="E43" s="8" t="s">
        <v>2739</v>
      </c>
      <c r="F43" s="7" t="s">
        <v>2740</v>
      </c>
      <c r="G43" s="10"/>
      <c r="H43" s="7" t="s">
        <v>3526</v>
      </c>
      <c r="I43" s="7" t="s">
        <v>3900</v>
      </c>
      <c r="J43" s="7" t="s">
        <v>3358</v>
      </c>
      <c r="K43" s="7" t="s">
        <v>3901</v>
      </c>
      <c r="L43" s="11" t="str">
        <f>HYPERLINK("http://slimages.macys.com/is/image/MCY/12900506 ")</f>
        <v xml:space="preserve">http://slimages.macys.com/is/image/MCY/12900506 </v>
      </c>
    </row>
    <row r="44" spans="1:12" ht="39.950000000000003" customHeight="1" x14ac:dyDescent="0.25">
      <c r="A44" s="6" t="s">
        <v>2741</v>
      </c>
      <c r="B44" s="7" t="s">
        <v>2742</v>
      </c>
      <c r="C44" s="8">
        <v>1</v>
      </c>
      <c r="D44" s="9">
        <v>32.99</v>
      </c>
      <c r="E44" s="8" t="s">
        <v>2743</v>
      </c>
      <c r="F44" s="7" t="s">
        <v>3802</v>
      </c>
      <c r="G44" s="10" t="s">
        <v>2744</v>
      </c>
      <c r="H44" s="7" t="s">
        <v>3526</v>
      </c>
      <c r="I44" s="7" t="s">
        <v>2745</v>
      </c>
      <c r="J44" s="7" t="s">
        <v>3358</v>
      </c>
      <c r="K44" s="7" t="s">
        <v>4011</v>
      </c>
      <c r="L44" s="11" t="str">
        <f>HYPERLINK("http://slimages.macys.com/is/image/MCY/12678589 ")</f>
        <v xml:space="preserve">http://slimages.macys.com/is/image/MCY/12678589 </v>
      </c>
    </row>
    <row r="45" spans="1:12" ht="39.950000000000003" customHeight="1" x14ac:dyDescent="0.25">
      <c r="A45" s="6" t="s">
        <v>2746</v>
      </c>
      <c r="B45" s="7" t="s">
        <v>2747</v>
      </c>
      <c r="C45" s="8">
        <v>1</v>
      </c>
      <c r="D45" s="9">
        <v>39.99</v>
      </c>
      <c r="E45" s="8" t="s">
        <v>2748</v>
      </c>
      <c r="F45" s="7" t="s">
        <v>3580</v>
      </c>
      <c r="G45" s="10"/>
      <c r="H45" s="7" t="s">
        <v>3515</v>
      </c>
      <c r="I45" s="7" t="s">
        <v>4231</v>
      </c>
      <c r="J45" s="7"/>
      <c r="K45" s="7"/>
      <c r="L45" s="11" t="str">
        <f>HYPERLINK("http://slimages.macys.com/is/image/MCY/17804035 ")</f>
        <v xml:space="preserve">http://slimages.macys.com/is/image/MCY/17804035 </v>
      </c>
    </row>
    <row r="46" spans="1:12" ht="39.950000000000003" customHeight="1" x14ac:dyDescent="0.25">
      <c r="A46" s="6" t="s">
        <v>2749</v>
      </c>
      <c r="B46" s="7" t="s">
        <v>2750</v>
      </c>
      <c r="C46" s="8">
        <v>2</v>
      </c>
      <c r="D46" s="9">
        <v>139.97999999999999</v>
      </c>
      <c r="E46" s="8" t="s">
        <v>2751</v>
      </c>
      <c r="F46" s="7" t="s">
        <v>3531</v>
      </c>
      <c r="G46" s="10"/>
      <c r="H46" s="7" t="s">
        <v>3365</v>
      </c>
      <c r="I46" s="7" t="s">
        <v>3558</v>
      </c>
      <c r="J46" s="7" t="s">
        <v>3358</v>
      </c>
      <c r="K46" s="7" t="s">
        <v>2752</v>
      </c>
      <c r="L46" s="11" t="str">
        <f>HYPERLINK("http://slimages.macys.com/is/image/MCY/9706174 ")</f>
        <v xml:space="preserve">http://slimages.macys.com/is/image/MCY/9706174 </v>
      </c>
    </row>
    <row r="47" spans="1:12" ht="39.950000000000003" customHeight="1" x14ac:dyDescent="0.25">
      <c r="A47" s="6" t="s">
        <v>2753</v>
      </c>
      <c r="B47" s="7" t="s">
        <v>2754</v>
      </c>
      <c r="C47" s="8">
        <v>1</v>
      </c>
      <c r="D47" s="9">
        <v>44.99</v>
      </c>
      <c r="E47" s="8" t="s">
        <v>2755</v>
      </c>
      <c r="F47" s="7" t="s">
        <v>3840</v>
      </c>
      <c r="G47" s="10"/>
      <c r="H47" s="7" t="s">
        <v>3492</v>
      </c>
      <c r="I47" s="7" t="s">
        <v>3841</v>
      </c>
      <c r="J47" s="7" t="s">
        <v>3358</v>
      </c>
      <c r="K47" s="7" t="s">
        <v>3506</v>
      </c>
      <c r="L47" s="11" t="str">
        <f>HYPERLINK("http://slimages.macys.com/is/image/MCY/11705319 ")</f>
        <v xml:space="preserve">http://slimages.macys.com/is/image/MCY/11705319 </v>
      </c>
    </row>
    <row r="48" spans="1:12" ht="39.950000000000003" customHeight="1" x14ac:dyDescent="0.25">
      <c r="A48" s="6" t="s">
        <v>2756</v>
      </c>
      <c r="B48" s="7" t="s">
        <v>2757</v>
      </c>
      <c r="C48" s="8">
        <v>1</v>
      </c>
      <c r="D48" s="9">
        <v>29.99</v>
      </c>
      <c r="E48" s="8" t="s">
        <v>2758</v>
      </c>
      <c r="F48" s="7"/>
      <c r="G48" s="10"/>
      <c r="H48" s="7" t="s">
        <v>3412</v>
      </c>
      <c r="I48" s="7" t="s">
        <v>3510</v>
      </c>
      <c r="J48" s="7" t="s">
        <v>3358</v>
      </c>
      <c r="K48" s="7" t="s">
        <v>3951</v>
      </c>
      <c r="L48" s="11" t="str">
        <f>HYPERLINK("http://slimages.macys.com/is/image/MCY/16344436 ")</f>
        <v xml:space="preserve">http://slimages.macys.com/is/image/MCY/16344436 </v>
      </c>
    </row>
    <row r="49" spans="1:12" ht="39.950000000000003" customHeight="1" x14ac:dyDescent="0.25">
      <c r="A49" s="6" t="s">
        <v>2759</v>
      </c>
      <c r="B49" s="7" t="s">
        <v>2760</v>
      </c>
      <c r="C49" s="8">
        <v>1</v>
      </c>
      <c r="D49" s="9">
        <v>78.11</v>
      </c>
      <c r="E49" s="8" t="s">
        <v>2761</v>
      </c>
      <c r="F49" s="7"/>
      <c r="G49" s="10"/>
      <c r="H49" s="7" t="s">
        <v>3377</v>
      </c>
      <c r="I49" s="7" t="s">
        <v>3478</v>
      </c>
      <c r="J49" s="7"/>
      <c r="K49" s="7"/>
      <c r="L49" s="11" t="str">
        <f>HYPERLINK("http://slimages.macys.com/is/image/MCY/17542035 ")</f>
        <v xml:space="preserve">http://slimages.macys.com/is/image/MCY/17542035 </v>
      </c>
    </row>
    <row r="50" spans="1:12" ht="39.950000000000003" customHeight="1" x14ac:dyDescent="0.25">
      <c r="A50" s="6" t="s">
        <v>2762</v>
      </c>
      <c r="B50" s="7" t="s">
        <v>2763</v>
      </c>
      <c r="C50" s="8">
        <v>1</v>
      </c>
      <c r="D50" s="9">
        <v>22.99</v>
      </c>
      <c r="E50" s="8" t="s">
        <v>2764</v>
      </c>
      <c r="F50" s="7" t="s">
        <v>3498</v>
      </c>
      <c r="G50" s="10"/>
      <c r="H50" s="7" t="s">
        <v>3515</v>
      </c>
      <c r="I50" s="7" t="s">
        <v>3803</v>
      </c>
      <c r="J50" s="7"/>
      <c r="K50" s="7"/>
      <c r="L50" s="11" t="str">
        <f>HYPERLINK("http://slimages.macys.com/is/image/MCY/17835428 ")</f>
        <v xml:space="preserve">http://slimages.macys.com/is/image/MCY/17835428 </v>
      </c>
    </row>
    <row r="51" spans="1:12" ht="39.950000000000003" customHeight="1" x14ac:dyDescent="0.25">
      <c r="A51" s="6" t="s">
        <v>2765</v>
      </c>
      <c r="B51" s="7" t="s">
        <v>2766</v>
      </c>
      <c r="C51" s="8">
        <v>1</v>
      </c>
      <c r="D51" s="9">
        <v>18.989999999999998</v>
      </c>
      <c r="E51" s="8" t="s">
        <v>2767</v>
      </c>
      <c r="F51" s="7" t="s">
        <v>3706</v>
      </c>
      <c r="G51" s="10"/>
      <c r="H51" s="7" t="s">
        <v>3526</v>
      </c>
      <c r="I51" s="7" t="s">
        <v>3527</v>
      </c>
      <c r="J51" s="7" t="s">
        <v>3358</v>
      </c>
      <c r="K51" s="7" t="s">
        <v>3390</v>
      </c>
      <c r="L51" s="11" t="str">
        <f>HYPERLINK("http://slimages.macys.com/is/image/MCY/3162549 ")</f>
        <v xml:space="preserve">http://slimages.macys.com/is/image/MCY/3162549 </v>
      </c>
    </row>
    <row r="52" spans="1:12" ht="39.950000000000003" customHeight="1" x14ac:dyDescent="0.25">
      <c r="A52" s="6" t="s">
        <v>2768</v>
      </c>
      <c r="B52" s="7" t="s">
        <v>2769</v>
      </c>
      <c r="C52" s="8">
        <v>1</v>
      </c>
      <c r="D52" s="9">
        <v>18.989999999999998</v>
      </c>
      <c r="E52" s="8" t="s">
        <v>2767</v>
      </c>
      <c r="F52" s="7" t="s">
        <v>2770</v>
      </c>
      <c r="G52" s="10"/>
      <c r="H52" s="7" t="s">
        <v>3526</v>
      </c>
      <c r="I52" s="7" t="s">
        <v>3527</v>
      </c>
      <c r="J52" s="7" t="s">
        <v>3358</v>
      </c>
      <c r="K52" s="7" t="s">
        <v>3390</v>
      </c>
      <c r="L52" s="11" t="str">
        <f>HYPERLINK("http://slimages.macys.com/is/image/MCY/3162549 ")</f>
        <v xml:space="preserve">http://slimages.macys.com/is/image/MCY/3162549 </v>
      </c>
    </row>
    <row r="53" spans="1:12" ht="39.950000000000003" customHeight="1" x14ac:dyDescent="0.25">
      <c r="A53" s="6" t="s">
        <v>2771</v>
      </c>
      <c r="B53" s="7" t="s">
        <v>2772</v>
      </c>
      <c r="C53" s="8">
        <v>2</v>
      </c>
      <c r="D53" s="9">
        <v>55.98</v>
      </c>
      <c r="E53" s="8" t="s">
        <v>2773</v>
      </c>
      <c r="F53" s="7" t="s">
        <v>3384</v>
      </c>
      <c r="G53" s="10" t="s">
        <v>3947</v>
      </c>
      <c r="H53" s="7" t="s">
        <v>3492</v>
      </c>
      <c r="I53" s="7" t="s">
        <v>2774</v>
      </c>
      <c r="J53" s="7" t="s">
        <v>3379</v>
      </c>
      <c r="K53" s="7" t="s">
        <v>2775</v>
      </c>
      <c r="L53" s="11" t="str">
        <f>HYPERLINK("http://slimages.macys.com/is/image/MCY/16367378 ")</f>
        <v xml:space="preserve">http://slimages.macys.com/is/image/MCY/16367378 </v>
      </c>
    </row>
    <row r="54" spans="1:12" ht="39.950000000000003" customHeight="1" x14ac:dyDescent="0.25">
      <c r="A54" s="6" t="s">
        <v>2776</v>
      </c>
      <c r="B54" s="7" t="s">
        <v>2777</v>
      </c>
      <c r="C54" s="8">
        <v>1</v>
      </c>
      <c r="D54" s="9">
        <v>9.99</v>
      </c>
      <c r="E54" s="8" t="s">
        <v>2778</v>
      </c>
      <c r="F54" s="7" t="s">
        <v>3384</v>
      </c>
      <c r="G54" s="10"/>
      <c r="H54" s="7" t="s">
        <v>3515</v>
      </c>
      <c r="I54" s="7" t="s">
        <v>4161</v>
      </c>
      <c r="J54" s="7" t="s">
        <v>3692</v>
      </c>
      <c r="K54" s="7" t="s">
        <v>2779</v>
      </c>
      <c r="L54" s="11" t="str">
        <f>HYPERLINK("http://slimages.macys.com/is/image/MCY/3130254 ")</f>
        <v xml:space="preserve">http://slimages.macys.com/is/image/MCY/3130254 </v>
      </c>
    </row>
    <row r="55" spans="1:12" ht="39.950000000000003" customHeight="1" x14ac:dyDescent="0.25">
      <c r="A55" s="6" t="s">
        <v>2780</v>
      </c>
      <c r="B55" s="7" t="s">
        <v>2781</v>
      </c>
      <c r="C55" s="8">
        <v>1</v>
      </c>
      <c r="D55" s="9">
        <v>15.99</v>
      </c>
      <c r="E55" s="8" t="s">
        <v>2782</v>
      </c>
      <c r="F55" s="7" t="s">
        <v>3363</v>
      </c>
      <c r="G55" s="10" t="s">
        <v>3606</v>
      </c>
      <c r="H55" s="7" t="s">
        <v>3388</v>
      </c>
      <c r="I55" s="7" t="s">
        <v>2783</v>
      </c>
      <c r="J55" s="7" t="s">
        <v>3379</v>
      </c>
      <c r="K55" s="7" t="s">
        <v>2784</v>
      </c>
      <c r="L55" s="11" t="str">
        <f>HYPERLINK("http://slimages.macys.com/is/image/MCY/8152898 ")</f>
        <v xml:space="preserve">http://slimages.macys.com/is/image/MCY/8152898 </v>
      </c>
    </row>
    <row r="56" spans="1:12" ht="39.950000000000003" customHeight="1" x14ac:dyDescent="0.25">
      <c r="A56" s="6" t="s">
        <v>2393</v>
      </c>
      <c r="B56" s="7" t="s">
        <v>2394</v>
      </c>
      <c r="C56" s="8">
        <v>1</v>
      </c>
      <c r="D56" s="9">
        <v>14.99</v>
      </c>
      <c r="E56" s="8">
        <v>1007028900</v>
      </c>
      <c r="F56" s="7" t="s">
        <v>3363</v>
      </c>
      <c r="G56" s="10"/>
      <c r="H56" s="7" t="s">
        <v>3482</v>
      </c>
      <c r="I56" s="7" t="s">
        <v>3651</v>
      </c>
      <c r="J56" s="7" t="s">
        <v>3358</v>
      </c>
      <c r="K56" s="7" t="s">
        <v>3403</v>
      </c>
      <c r="L56" s="11" t="str">
        <f>HYPERLINK("http://slimages.macys.com/is/image/MCY/13985069 ")</f>
        <v xml:space="preserve">http://slimages.macys.com/is/image/MCY/13985069 </v>
      </c>
    </row>
    <row r="57" spans="1:12" ht="39.950000000000003" customHeight="1" x14ac:dyDescent="0.25">
      <c r="A57" s="6" t="s">
        <v>2785</v>
      </c>
      <c r="B57" s="7" t="s">
        <v>2786</v>
      </c>
      <c r="C57" s="8">
        <v>1</v>
      </c>
      <c r="D57" s="9">
        <v>12.99</v>
      </c>
      <c r="E57" s="8" t="s">
        <v>2787</v>
      </c>
      <c r="F57" s="7" t="s">
        <v>3553</v>
      </c>
      <c r="G57" s="10"/>
      <c r="H57" s="7" t="s">
        <v>3515</v>
      </c>
      <c r="I57" s="7" t="s">
        <v>3707</v>
      </c>
      <c r="J57" s="7"/>
      <c r="K57" s="7"/>
      <c r="L57" s="11" t="str">
        <f>HYPERLINK("http://slimages.macys.com/is/image/MCY/16900752 ")</f>
        <v xml:space="preserve">http://slimages.macys.com/is/image/MCY/16900752 </v>
      </c>
    </row>
    <row r="58" spans="1:12" ht="39.950000000000003" customHeight="1" x14ac:dyDescent="0.25">
      <c r="A58" s="6" t="s">
        <v>2788</v>
      </c>
      <c r="B58" s="7" t="s">
        <v>2789</v>
      </c>
      <c r="C58" s="8">
        <v>1</v>
      </c>
      <c r="D58" s="9">
        <v>7.99</v>
      </c>
      <c r="E58" s="8" t="s">
        <v>2790</v>
      </c>
      <c r="F58" s="7" t="s">
        <v>3481</v>
      </c>
      <c r="G58" s="10" t="s">
        <v>3532</v>
      </c>
      <c r="H58" s="7" t="s">
        <v>3372</v>
      </c>
      <c r="I58" s="7" t="s">
        <v>2791</v>
      </c>
      <c r="J58" s="7"/>
      <c r="K58" s="7"/>
      <c r="L58" s="11" t="str">
        <f>HYPERLINK("http://slimages.macys.com/is/image/MCY/16783459 ")</f>
        <v xml:space="preserve">http://slimages.macys.com/is/image/MCY/16783459 </v>
      </c>
    </row>
    <row r="59" spans="1:12" ht="39.950000000000003" customHeight="1" x14ac:dyDescent="0.25">
      <c r="A59" s="6" t="s">
        <v>2792</v>
      </c>
      <c r="B59" s="7" t="s">
        <v>2793</v>
      </c>
      <c r="C59" s="8">
        <v>1</v>
      </c>
      <c r="D59" s="9">
        <v>7.99</v>
      </c>
      <c r="E59" s="8" t="s">
        <v>2794</v>
      </c>
      <c r="F59" s="7" t="s">
        <v>3363</v>
      </c>
      <c r="G59" s="10" t="s">
        <v>3532</v>
      </c>
      <c r="H59" s="7" t="s">
        <v>3372</v>
      </c>
      <c r="I59" s="7" t="s">
        <v>2791</v>
      </c>
      <c r="J59" s="7"/>
      <c r="K59" s="7"/>
      <c r="L59" s="11" t="str">
        <f>HYPERLINK("http://slimages.macys.com/is/image/MCY/16783459 ")</f>
        <v xml:space="preserve">http://slimages.macys.com/is/image/MCY/16783459 </v>
      </c>
    </row>
    <row r="60" spans="1:12" ht="39.950000000000003" customHeight="1" x14ac:dyDescent="0.25">
      <c r="A60" s="6" t="s">
        <v>2795</v>
      </c>
      <c r="B60" s="7" t="s">
        <v>2796</v>
      </c>
      <c r="C60" s="8">
        <v>1</v>
      </c>
      <c r="D60" s="9">
        <v>99.99</v>
      </c>
      <c r="E60" s="8" t="s">
        <v>2797</v>
      </c>
      <c r="F60" s="7" t="s">
        <v>3363</v>
      </c>
      <c r="G60" s="10" t="s">
        <v>3645</v>
      </c>
      <c r="H60" s="7" t="s">
        <v>3471</v>
      </c>
      <c r="I60" s="7" t="s">
        <v>3378</v>
      </c>
      <c r="J60" s="7"/>
      <c r="K60" s="7"/>
      <c r="L60" s="11"/>
    </row>
    <row r="61" spans="1:12" ht="39.950000000000003" customHeight="1" x14ac:dyDescent="0.25">
      <c r="A61" s="6" t="s">
        <v>3540</v>
      </c>
      <c r="B61" s="7" t="s">
        <v>3541</v>
      </c>
      <c r="C61" s="8">
        <v>5</v>
      </c>
      <c r="D61" s="9">
        <v>200</v>
      </c>
      <c r="E61" s="8"/>
      <c r="F61" s="7" t="s">
        <v>3542</v>
      </c>
      <c r="G61" s="10" t="s">
        <v>3504</v>
      </c>
      <c r="H61" s="7" t="s">
        <v>3543</v>
      </c>
      <c r="I61" s="7" t="s">
        <v>3544</v>
      </c>
      <c r="J61" s="7"/>
      <c r="K61" s="7"/>
      <c r="L61" s="11"/>
    </row>
    <row r="62" spans="1:12" ht="39.950000000000003" customHeight="1" x14ac:dyDescent="0.25">
      <c r="A62" s="6" t="s">
        <v>2408</v>
      </c>
      <c r="B62" s="7" t="s">
        <v>2409</v>
      </c>
      <c r="C62" s="8">
        <v>2</v>
      </c>
      <c r="D62" s="9">
        <v>20</v>
      </c>
      <c r="E62" s="8" t="s">
        <v>2410</v>
      </c>
      <c r="F62" s="7" t="s">
        <v>3363</v>
      </c>
      <c r="G62" s="10"/>
      <c r="H62" s="7" t="s">
        <v>3388</v>
      </c>
      <c r="I62" s="7" t="s">
        <v>2411</v>
      </c>
      <c r="J62" s="7"/>
      <c r="K62" s="7"/>
      <c r="L62" s="11"/>
    </row>
  </sheetData>
  <phoneticPr fontId="0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0"/>
  <sheetViews>
    <sheetView workbookViewId="0"/>
  </sheetViews>
  <sheetFormatPr defaultRowHeight="39.950000000000003" customHeight="1" x14ac:dyDescent="0.25"/>
  <cols>
    <col min="1" max="1" width="14.28515625" customWidth="1"/>
    <col min="2" max="2" width="22.28515625" customWidth="1"/>
    <col min="3" max="3" width="15" customWidth="1"/>
    <col min="4" max="4" width="10.28515625" customWidth="1"/>
    <col min="5" max="5" width="17.140625" customWidth="1"/>
    <col min="6" max="6" width="11.42578125" customWidth="1"/>
    <col min="7" max="7" width="10.85546875" customWidth="1"/>
    <col min="8" max="8" width="12.140625" customWidth="1"/>
    <col min="9" max="9" width="36.5703125" bestFit="1" customWidth="1"/>
    <col min="10" max="11" width="20.7109375" customWidth="1"/>
    <col min="12" max="12" width="64.28515625" customWidth="1"/>
  </cols>
  <sheetData>
    <row r="1" spans="1:12" ht="39.950000000000003" customHeight="1" x14ac:dyDescent="0.25">
      <c r="A1" s="5" t="s">
        <v>3340</v>
      </c>
      <c r="B1" s="5" t="s">
        <v>3341</v>
      </c>
      <c r="C1" s="5" t="s">
        <v>3342</v>
      </c>
      <c r="D1" s="5" t="s">
        <v>3343</v>
      </c>
      <c r="E1" s="5" t="s">
        <v>3344</v>
      </c>
      <c r="F1" s="5" t="s">
        <v>3345</v>
      </c>
      <c r="G1" s="5" t="s">
        <v>3346</v>
      </c>
      <c r="H1" s="5" t="s">
        <v>3347</v>
      </c>
      <c r="I1" s="5" t="s">
        <v>3348</v>
      </c>
      <c r="J1" s="5" t="s">
        <v>3349</v>
      </c>
      <c r="K1" s="5" t="s">
        <v>3350</v>
      </c>
      <c r="L1" s="5" t="s">
        <v>3351</v>
      </c>
    </row>
    <row r="2" spans="1:12" ht="39.950000000000003" customHeight="1" x14ac:dyDescent="0.25">
      <c r="A2" s="6" t="s">
        <v>2798</v>
      </c>
      <c r="B2" s="7" t="s">
        <v>2799</v>
      </c>
      <c r="C2" s="8">
        <v>1</v>
      </c>
      <c r="D2" s="9">
        <v>299.99</v>
      </c>
      <c r="E2" s="8" t="s">
        <v>2800</v>
      </c>
      <c r="F2" s="7" t="s">
        <v>3650</v>
      </c>
      <c r="G2" s="10"/>
      <c r="H2" s="7" t="s">
        <v>3876</v>
      </c>
      <c r="I2" s="7" t="s">
        <v>3894</v>
      </c>
      <c r="J2" s="7" t="s">
        <v>3358</v>
      </c>
      <c r="K2" s="7" t="s">
        <v>3506</v>
      </c>
      <c r="L2" s="11" t="str">
        <f>HYPERLINK("http://slimages.macys.com/is/image/MCY/12937172 ")</f>
        <v xml:space="preserve">http://slimages.macys.com/is/image/MCY/12937172 </v>
      </c>
    </row>
    <row r="3" spans="1:12" ht="39.950000000000003" customHeight="1" x14ac:dyDescent="0.25">
      <c r="A3" s="6" t="s">
        <v>2801</v>
      </c>
      <c r="B3" s="7" t="s">
        <v>2802</v>
      </c>
      <c r="C3" s="8">
        <v>1</v>
      </c>
      <c r="D3" s="9">
        <v>249.99</v>
      </c>
      <c r="E3" s="8" t="s">
        <v>2803</v>
      </c>
      <c r="F3" s="7" t="s">
        <v>3363</v>
      </c>
      <c r="G3" s="10"/>
      <c r="H3" s="7" t="s">
        <v>3427</v>
      </c>
      <c r="I3" s="7" t="s">
        <v>2401</v>
      </c>
      <c r="J3" s="7" t="s">
        <v>3358</v>
      </c>
      <c r="K3" s="7" t="s">
        <v>3484</v>
      </c>
      <c r="L3" s="11" t="str">
        <f>HYPERLINK("http://slimages.macys.com/is/image/MCY/15381855 ")</f>
        <v xml:space="preserve">http://slimages.macys.com/is/image/MCY/15381855 </v>
      </c>
    </row>
    <row r="4" spans="1:12" ht="39.950000000000003" customHeight="1" x14ac:dyDescent="0.25">
      <c r="A4" s="6" t="s">
        <v>2804</v>
      </c>
      <c r="B4" s="7" t="s">
        <v>2805</v>
      </c>
      <c r="C4" s="8">
        <v>1</v>
      </c>
      <c r="D4" s="9">
        <v>379.99</v>
      </c>
      <c r="E4" s="8" t="s">
        <v>2806</v>
      </c>
      <c r="F4" s="7" t="s">
        <v>3925</v>
      </c>
      <c r="G4" s="10"/>
      <c r="H4" s="7" t="s">
        <v>3876</v>
      </c>
      <c r="I4" s="7" t="s">
        <v>3894</v>
      </c>
      <c r="J4" s="7" t="s">
        <v>3358</v>
      </c>
      <c r="K4" s="7" t="s">
        <v>3506</v>
      </c>
      <c r="L4" s="11" t="str">
        <f>HYPERLINK("http://slimages.macys.com/is/image/MCY/12890706 ")</f>
        <v xml:space="preserve">http://slimages.macys.com/is/image/MCY/12890706 </v>
      </c>
    </row>
    <row r="5" spans="1:12" ht="39.950000000000003" customHeight="1" x14ac:dyDescent="0.25">
      <c r="A5" s="6" t="s">
        <v>2807</v>
      </c>
      <c r="B5" s="7" t="s">
        <v>2808</v>
      </c>
      <c r="C5" s="8">
        <v>1</v>
      </c>
      <c r="D5" s="9">
        <v>249.99</v>
      </c>
      <c r="E5" s="8" t="s">
        <v>2809</v>
      </c>
      <c r="F5" s="7" t="s">
        <v>3673</v>
      </c>
      <c r="G5" s="10"/>
      <c r="H5" s="7" t="s">
        <v>3365</v>
      </c>
      <c r="I5" s="7" t="s">
        <v>3554</v>
      </c>
      <c r="J5" s="7" t="s">
        <v>3358</v>
      </c>
      <c r="K5" s="7"/>
      <c r="L5" s="11" t="str">
        <f>HYPERLINK("http://slimages.macys.com/is/image/MCY/10467368 ")</f>
        <v xml:space="preserve">http://slimages.macys.com/is/image/MCY/10467368 </v>
      </c>
    </row>
    <row r="6" spans="1:12" ht="39.950000000000003" customHeight="1" x14ac:dyDescent="0.25">
      <c r="A6" s="6" t="s">
        <v>2810</v>
      </c>
      <c r="B6" s="7" t="s">
        <v>2811</v>
      </c>
      <c r="C6" s="8">
        <v>1</v>
      </c>
      <c r="D6" s="9">
        <v>249.99</v>
      </c>
      <c r="E6" s="8" t="s">
        <v>2812</v>
      </c>
      <c r="F6" s="7" t="s">
        <v>3781</v>
      </c>
      <c r="G6" s="10" t="s">
        <v>3364</v>
      </c>
      <c r="H6" s="7" t="s">
        <v>3365</v>
      </c>
      <c r="I6" s="7" t="s">
        <v>3385</v>
      </c>
      <c r="J6" s="7" t="s">
        <v>3358</v>
      </c>
      <c r="K6" s="7" t="s">
        <v>2813</v>
      </c>
      <c r="L6" s="11" t="str">
        <f>HYPERLINK("http://slimages.macys.com/is/image/MCY/15924247 ")</f>
        <v xml:space="preserve">http://slimages.macys.com/is/image/MCY/15924247 </v>
      </c>
    </row>
    <row r="7" spans="1:12" ht="39.950000000000003" customHeight="1" x14ac:dyDescent="0.25">
      <c r="A7" s="6" t="s">
        <v>2814</v>
      </c>
      <c r="B7" s="7" t="s">
        <v>2815</v>
      </c>
      <c r="C7" s="8">
        <v>1</v>
      </c>
      <c r="D7" s="9">
        <v>149.99</v>
      </c>
      <c r="E7" s="8" t="s">
        <v>2816</v>
      </c>
      <c r="F7" s="7" t="s">
        <v>3553</v>
      </c>
      <c r="G7" s="10"/>
      <c r="H7" s="7" t="s">
        <v>3397</v>
      </c>
      <c r="I7" s="7" t="s">
        <v>2817</v>
      </c>
      <c r="J7" s="7" t="s">
        <v>3358</v>
      </c>
      <c r="K7" s="7" t="s">
        <v>3506</v>
      </c>
      <c r="L7" s="11" t="str">
        <f>HYPERLINK("http://slimages.macys.com/is/image/MCY/15866260 ")</f>
        <v xml:space="preserve">http://slimages.macys.com/is/image/MCY/15866260 </v>
      </c>
    </row>
    <row r="8" spans="1:12" ht="39.950000000000003" customHeight="1" x14ac:dyDescent="0.25">
      <c r="A8" s="6" t="s">
        <v>2818</v>
      </c>
      <c r="B8" s="7" t="s">
        <v>2819</v>
      </c>
      <c r="C8" s="8">
        <v>1</v>
      </c>
      <c r="D8" s="9">
        <v>179.99</v>
      </c>
      <c r="E8" s="8" t="s">
        <v>2820</v>
      </c>
      <c r="F8" s="7" t="s">
        <v>3937</v>
      </c>
      <c r="G8" s="10"/>
      <c r="H8" s="7" t="s">
        <v>3412</v>
      </c>
      <c r="I8" s="7" t="s">
        <v>3436</v>
      </c>
      <c r="J8" s="7" t="s">
        <v>3358</v>
      </c>
      <c r="K8" s="7" t="s">
        <v>3390</v>
      </c>
      <c r="L8" s="11" t="str">
        <f>HYPERLINK("http://slimages.macys.com/is/image/MCY/16736369 ")</f>
        <v xml:space="preserve">http://slimages.macys.com/is/image/MCY/16736369 </v>
      </c>
    </row>
    <row r="9" spans="1:12" ht="39.950000000000003" customHeight="1" x14ac:dyDescent="0.25">
      <c r="A9" s="6" t="s">
        <v>2821</v>
      </c>
      <c r="B9" s="7" t="s">
        <v>2822</v>
      </c>
      <c r="C9" s="8">
        <v>3</v>
      </c>
      <c r="D9" s="9">
        <v>449.97</v>
      </c>
      <c r="E9" s="8" t="s">
        <v>2823</v>
      </c>
      <c r="F9" s="7" t="s">
        <v>3553</v>
      </c>
      <c r="G9" s="10"/>
      <c r="H9" s="7" t="s">
        <v>3408</v>
      </c>
      <c r="I9" s="7" t="s">
        <v>3409</v>
      </c>
      <c r="J9" s="7"/>
      <c r="K9" s="7"/>
      <c r="L9" s="11" t="str">
        <f>HYPERLINK("http://slimages.macys.com/is/image/MCY/17773249 ")</f>
        <v xml:space="preserve">http://slimages.macys.com/is/image/MCY/17773249 </v>
      </c>
    </row>
    <row r="10" spans="1:12" ht="39.950000000000003" customHeight="1" x14ac:dyDescent="0.25">
      <c r="A10" s="6" t="s">
        <v>2824</v>
      </c>
      <c r="B10" s="7" t="s">
        <v>2825</v>
      </c>
      <c r="C10" s="8">
        <v>1</v>
      </c>
      <c r="D10" s="9">
        <v>97.99</v>
      </c>
      <c r="E10" s="8" t="s">
        <v>2826</v>
      </c>
      <c r="F10" s="7" t="s">
        <v>3553</v>
      </c>
      <c r="G10" s="10"/>
      <c r="H10" s="7" t="s">
        <v>3356</v>
      </c>
      <c r="I10" s="7" t="s">
        <v>3849</v>
      </c>
      <c r="J10" s="7" t="s">
        <v>3358</v>
      </c>
      <c r="K10" s="7" t="s">
        <v>3850</v>
      </c>
      <c r="L10" s="11" t="str">
        <f>HYPERLINK("http://slimages.macys.com/is/image/MCY/15198973 ")</f>
        <v xml:space="preserve">http://slimages.macys.com/is/image/MCY/15198973 </v>
      </c>
    </row>
    <row r="11" spans="1:12" ht="39.950000000000003" customHeight="1" x14ac:dyDescent="0.25">
      <c r="A11" s="6" t="s">
        <v>2827</v>
      </c>
      <c r="B11" s="7" t="s">
        <v>2828</v>
      </c>
      <c r="C11" s="8">
        <v>1</v>
      </c>
      <c r="D11" s="9">
        <v>109.99</v>
      </c>
      <c r="E11" s="8" t="s">
        <v>2829</v>
      </c>
      <c r="F11" s="7" t="s">
        <v>3363</v>
      </c>
      <c r="G11" s="10" t="s">
        <v>3504</v>
      </c>
      <c r="H11" s="7" t="s">
        <v>3422</v>
      </c>
      <c r="I11" s="7" t="s">
        <v>2830</v>
      </c>
      <c r="J11" s="7" t="s">
        <v>3358</v>
      </c>
      <c r="K11" s="7" t="s">
        <v>3390</v>
      </c>
      <c r="L11" s="11" t="str">
        <f>HYPERLINK("http://slimages.macys.com/is/image/MCY/13447337 ")</f>
        <v xml:space="preserve">http://slimages.macys.com/is/image/MCY/13447337 </v>
      </c>
    </row>
    <row r="12" spans="1:12" ht="39.950000000000003" customHeight="1" x14ac:dyDescent="0.25">
      <c r="A12" s="6" t="s">
        <v>2831</v>
      </c>
      <c r="B12" s="7" t="s">
        <v>2832</v>
      </c>
      <c r="C12" s="8">
        <v>1</v>
      </c>
      <c r="D12" s="9">
        <v>109.99</v>
      </c>
      <c r="E12" s="8" t="s">
        <v>2833</v>
      </c>
      <c r="F12" s="7" t="s">
        <v>3542</v>
      </c>
      <c r="G12" s="10" t="s">
        <v>4291</v>
      </c>
      <c r="H12" s="7" t="s">
        <v>3471</v>
      </c>
      <c r="I12" s="7" t="s">
        <v>3548</v>
      </c>
      <c r="J12" s="7" t="s">
        <v>3358</v>
      </c>
      <c r="K12" s="7" t="s">
        <v>2834</v>
      </c>
      <c r="L12" s="11" t="str">
        <f>HYPERLINK("http://slimages.macys.com/is/image/MCY/1067172 ")</f>
        <v xml:space="preserve">http://slimages.macys.com/is/image/MCY/1067172 </v>
      </c>
    </row>
    <row r="13" spans="1:12" ht="39.950000000000003" customHeight="1" x14ac:dyDescent="0.25">
      <c r="A13" s="6" t="s">
        <v>2835</v>
      </c>
      <c r="B13" s="7" t="s">
        <v>2836</v>
      </c>
      <c r="C13" s="8">
        <v>1</v>
      </c>
      <c r="D13" s="9">
        <v>104.99</v>
      </c>
      <c r="E13" s="8" t="s">
        <v>2837</v>
      </c>
      <c r="F13" s="7" t="s">
        <v>3363</v>
      </c>
      <c r="G13" s="10"/>
      <c r="H13" s="7" t="s">
        <v>3422</v>
      </c>
      <c r="I13" s="7" t="s">
        <v>3423</v>
      </c>
      <c r="J13" s="7" t="s">
        <v>3358</v>
      </c>
      <c r="K13" s="7"/>
      <c r="L13" s="11" t="str">
        <f>HYPERLINK("http://slimages.macys.com/is/image/MCY/9433048 ")</f>
        <v xml:space="preserve">http://slimages.macys.com/is/image/MCY/9433048 </v>
      </c>
    </row>
    <row r="14" spans="1:12" ht="39.950000000000003" customHeight="1" x14ac:dyDescent="0.25">
      <c r="A14" s="6" t="s">
        <v>2838</v>
      </c>
      <c r="B14" s="7" t="s">
        <v>2839</v>
      </c>
      <c r="C14" s="8">
        <v>1</v>
      </c>
      <c r="D14" s="9">
        <v>119.99</v>
      </c>
      <c r="E14" s="8" t="s">
        <v>2840</v>
      </c>
      <c r="F14" s="7" t="s">
        <v>3921</v>
      </c>
      <c r="G14" s="10"/>
      <c r="H14" s="7" t="s">
        <v>3601</v>
      </c>
      <c r="I14" s="7" t="s">
        <v>3602</v>
      </c>
      <c r="J14" s="7" t="s">
        <v>3358</v>
      </c>
      <c r="K14" s="7" t="s">
        <v>4282</v>
      </c>
      <c r="L14" s="11" t="str">
        <f>HYPERLINK("http://slimages.macys.com/is/image/MCY/8433239 ")</f>
        <v xml:space="preserve">http://slimages.macys.com/is/image/MCY/8433239 </v>
      </c>
    </row>
    <row r="15" spans="1:12" ht="39.950000000000003" customHeight="1" x14ac:dyDescent="0.25">
      <c r="A15" s="6" t="s">
        <v>2841</v>
      </c>
      <c r="B15" s="7" t="s">
        <v>2842</v>
      </c>
      <c r="C15" s="8">
        <v>1</v>
      </c>
      <c r="D15" s="9">
        <v>89.99</v>
      </c>
      <c r="E15" s="8" t="s">
        <v>2843</v>
      </c>
      <c r="F15" s="7" t="s">
        <v>3525</v>
      </c>
      <c r="G15" s="10"/>
      <c r="H15" s="7" t="s">
        <v>3412</v>
      </c>
      <c r="I15" s="7" t="s">
        <v>2844</v>
      </c>
      <c r="J15" s="7" t="s">
        <v>3358</v>
      </c>
      <c r="K15" s="7" t="s">
        <v>3390</v>
      </c>
      <c r="L15" s="11" t="str">
        <f>HYPERLINK("http://slimages.macys.com/is/image/MCY/9828013 ")</f>
        <v xml:space="preserve">http://slimages.macys.com/is/image/MCY/9828013 </v>
      </c>
    </row>
    <row r="16" spans="1:12" ht="39.950000000000003" customHeight="1" x14ac:dyDescent="0.25">
      <c r="A16" s="6" t="s">
        <v>2845</v>
      </c>
      <c r="B16" s="7" t="s">
        <v>2846</v>
      </c>
      <c r="C16" s="8">
        <v>1</v>
      </c>
      <c r="D16" s="9">
        <v>99.99</v>
      </c>
      <c r="E16" s="8" t="s">
        <v>2847</v>
      </c>
      <c r="F16" s="7" t="s">
        <v>3525</v>
      </c>
      <c r="G16" s="10"/>
      <c r="H16" s="7" t="s">
        <v>3658</v>
      </c>
      <c r="I16" s="7" t="s">
        <v>2690</v>
      </c>
      <c r="J16" s="7"/>
      <c r="K16" s="7"/>
      <c r="L16" s="11" t="str">
        <f>HYPERLINK("http://slimages.macys.com/is/image/MCY/17871289 ")</f>
        <v xml:space="preserve">http://slimages.macys.com/is/image/MCY/17871289 </v>
      </c>
    </row>
    <row r="17" spans="1:12" ht="39.950000000000003" customHeight="1" x14ac:dyDescent="0.25">
      <c r="A17" s="6" t="s">
        <v>2848</v>
      </c>
      <c r="B17" s="7" t="s">
        <v>2849</v>
      </c>
      <c r="C17" s="8">
        <v>1</v>
      </c>
      <c r="D17" s="9">
        <v>99.99</v>
      </c>
      <c r="E17" s="8" t="s">
        <v>2850</v>
      </c>
      <c r="F17" s="7" t="s">
        <v>3701</v>
      </c>
      <c r="G17" s="10"/>
      <c r="H17" s="7" t="s">
        <v>3601</v>
      </c>
      <c r="I17" s="7" t="s">
        <v>3602</v>
      </c>
      <c r="J17" s="7" t="s">
        <v>3358</v>
      </c>
      <c r="K17" s="7" t="s">
        <v>3521</v>
      </c>
      <c r="L17" s="11" t="str">
        <f>HYPERLINK("http://slimages.macys.com/is/image/MCY/8433239 ")</f>
        <v xml:space="preserve">http://slimages.macys.com/is/image/MCY/8433239 </v>
      </c>
    </row>
    <row r="18" spans="1:12" ht="39.950000000000003" customHeight="1" x14ac:dyDescent="0.25">
      <c r="A18" s="6" t="s">
        <v>2851</v>
      </c>
      <c r="B18" s="7" t="s">
        <v>2852</v>
      </c>
      <c r="C18" s="8">
        <v>1</v>
      </c>
      <c r="D18" s="9">
        <v>99.99</v>
      </c>
      <c r="E18" s="8" t="s">
        <v>2853</v>
      </c>
      <c r="F18" s="7" t="s">
        <v>3899</v>
      </c>
      <c r="G18" s="10"/>
      <c r="H18" s="7" t="s">
        <v>3601</v>
      </c>
      <c r="I18" s="7" t="s">
        <v>3602</v>
      </c>
      <c r="J18" s="7"/>
      <c r="K18" s="7"/>
      <c r="L18" s="11" t="str">
        <f>HYPERLINK("http://slimages.macys.com/is/image/MCY/11784489 ")</f>
        <v xml:space="preserve">http://slimages.macys.com/is/image/MCY/11784489 </v>
      </c>
    </row>
    <row r="19" spans="1:12" ht="39.950000000000003" customHeight="1" x14ac:dyDescent="0.25">
      <c r="A19" s="6" t="s">
        <v>2854</v>
      </c>
      <c r="B19" s="7" t="s">
        <v>2855</v>
      </c>
      <c r="C19" s="8">
        <v>1</v>
      </c>
      <c r="D19" s="9">
        <v>99.99</v>
      </c>
      <c r="E19" s="8" t="s">
        <v>2856</v>
      </c>
      <c r="F19" s="7" t="s">
        <v>3363</v>
      </c>
      <c r="G19" s="10"/>
      <c r="H19" s="7" t="s">
        <v>3601</v>
      </c>
      <c r="I19" s="7" t="s">
        <v>3602</v>
      </c>
      <c r="J19" s="7" t="s">
        <v>3358</v>
      </c>
      <c r="K19" s="7" t="s">
        <v>4282</v>
      </c>
      <c r="L19" s="11" t="str">
        <f>HYPERLINK("http://slimages.macys.com/is/image/MCY/11607139 ")</f>
        <v xml:space="preserve">http://slimages.macys.com/is/image/MCY/11607139 </v>
      </c>
    </row>
    <row r="20" spans="1:12" ht="39.950000000000003" customHeight="1" x14ac:dyDescent="0.25">
      <c r="A20" s="6" t="s">
        <v>3624</v>
      </c>
      <c r="B20" s="7" t="s">
        <v>3625</v>
      </c>
      <c r="C20" s="8">
        <v>1</v>
      </c>
      <c r="D20" s="9">
        <v>79.989999999999995</v>
      </c>
      <c r="E20" s="8">
        <v>1003085000</v>
      </c>
      <c r="F20" s="7" t="s">
        <v>3498</v>
      </c>
      <c r="G20" s="10"/>
      <c r="H20" s="7" t="s">
        <v>3482</v>
      </c>
      <c r="I20" s="7" t="s">
        <v>3618</v>
      </c>
      <c r="J20" s="7" t="s">
        <v>3358</v>
      </c>
      <c r="K20" s="7" t="s">
        <v>3484</v>
      </c>
      <c r="L20" s="11" t="str">
        <f>HYPERLINK("http://slimages.macys.com/is/image/MCY/9971657 ")</f>
        <v xml:space="preserve">http://slimages.macys.com/is/image/MCY/9971657 </v>
      </c>
    </row>
    <row r="21" spans="1:12" ht="39.950000000000003" customHeight="1" x14ac:dyDescent="0.25">
      <c r="A21" s="6" t="s">
        <v>2857</v>
      </c>
      <c r="B21" s="7" t="s">
        <v>2858</v>
      </c>
      <c r="C21" s="8">
        <v>1</v>
      </c>
      <c r="D21" s="9">
        <v>79.989999999999995</v>
      </c>
      <c r="E21" s="8" t="s">
        <v>2859</v>
      </c>
      <c r="F21" s="7" t="s">
        <v>3600</v>
      </c>
      <c r="G21" s="10"/>
      <c r="H21" s="7" t="s">
        <v>3482</v>
      </c>
      <c r="I21" s="7" t="s">
        <v>3618</v>
      </c>
      <c r="J21" s="7" t="s">
        <v>3358</v>
      </c>
      <c r="K21" s="7" t="s">
        <v>3582</v>
      </c>
      <c r="L21" s="11" t="str">
        <f>HYPERLINK("http://slimages.macys.com/is/image/MCY/3723616 ")</f>
        <v xml:space="preserve">http://slimages.macys.com/is/image/MCY/3723616 </v>
      </c>
    </row>
    <row r="22" spans="1:12" ht="39.950000000000003" customHeight="1" x14ac:dyDescent="0.25">
      <c r="A22" s="6" t="s">
        <v>2860</v>
      </c>
      <c r="B22" s="7" t="s">
        <v>2861</v>
      </c>
      <c r="C22" s="8">
        <v>2</v>
      </c>
      <c r="D22" s="9">
        <v>175.98</v>
      </c>
      <c r="E22" s="8" t="s">
        <v>2862</v>
      </c>
      <c r="F22" s="7" t="s">
        <v>3481</v>
      </c>
      <c r="G22" s="10"/>
      <c r="H22" s="7" t="s">
        <v>3492</v>
      </c>
      <c r="I22" s="7" t="s">
        <v>2863</v>
      </c>
      <c r="J22" s="7" t="s">
        <v>3358</v>
      </c>
      <c r="K22" s="7" t="s">
        <v>2864</v>
      </c>
      <c r="L22" s="11" t="str">
        <f>HYPERLINK("http://slimages.macys.com/is/image/MCY/14343635 ")</f>
        <v xml:space="preserve">http://slimages.macys.com/is/image/MCY/14343635 </v>
      </c>
    </row>
    <row r="23" spans="1:12" ht="39.950000000000003" customHeight="1" x14ac:dyDescent="0.25">
      <c r="A23" s="6" t="s">
        <v>2865</v>
      </c>
      <c r="B23" s="7" t="s">
        <v>2866</v>
      </c>
      <c r="C23" s="8">
        <v>1</v>
      </c>
      <c r="D23" s="9">
        <v>54.99</v>
      </c>
      <c r="E23" s="8" t="s">
        <v>2867</v>
      </c>
      <c r="F23" s="7" t="s">
        <v>3921</v>
      </c>
      <c r="G23" s="10"/>
      <c r="H23" s="7" t="s">
        <v>3526</v>
      </c>
      <c r="I23" s="7" t="s">
        <v>3900</v>
      </c>
      <c r="J23" s="7" t="s">
        <v>3358</v>
      </c>
      <c r="K23" s="7" t="s">
        <v>3901</v>
      </c>
      <c r="L23" s="11" t="str">
        <f>HYPERLINK("http://slimages.macys.com/is/image/MCY/12901384 ")</f>
        <v xml:space="preserve">http://slimages.macys.com/is/image/MCY/12901384 </v>
      </c>
    </row>
    <row r="24" spans="1:12" ht="39.950000000000003" customHeight="1" x14ac:dyDescent="0.25">
      <c r="A24" s="6" t="s">
        <v>2868</v>
      </c>
      <c r="B24" s="7" t="s">
        <v>2869</v>
      </c>
      <c r="C24" s="8">
        <v>1</v>
      </c>
      <c r="D24" s="9">
        <v>60</v>
      </c>
      <c r="E24" s="8">
        <v>57548</v>
      </c>
      <c r="F24" s="7" t="s">
        <v>3384</v>
      </c>
      <c r="G24" s="10"/>
      <c r="H24" s="7" t="s">
        <v>3492</v>
      </c>
      <c r="I24" s="7" t="s">
        <v>3636</v>
      </c>
      <c r="J24" s="7"/>
      <c r="K24" s="7"/>
      <c r="L24" s="11" t="str">
        <f>HYPERLINK("http://slimages.macys.com/is/image/MCY/17441302 ")</f>
        <v xml:space="preserve">http://slimages.macys.com/is/image/MCY/17441302 </v>
      </c>
    </row>
    <row r="25" spans="1:12" ht="39.950000000000003" customHeight="1" x14ac:dyDescent="0.25">
      <c r="A25" s="6" t="s">
        <v>2870</v>
      </c>
      <c r="B25" s="7" t="s">
        <v>2871</v>
      </c>
      <c r="C25" s="8">
        <v>1</v>
      </c>
      <c r="D25" s="9">
        <v>79.989999999999995</v>
      </c>
      <c r="E25" s="8" t="s">
        <v>2872</v>
      </c>
      <c r="F25" s="7" t="s">
        <v>3650</v>
      </c>
      <c r="G25" s="10"/>
      <c r="H25" s="7" t="s">
        <v>3408</v>
      </c>
      <c r="I25" s="7" t="s">
        <v>4354</v>
      </c>
      <c r="J25" s="7"/>
      <c r="K25" s="7"/>
      <c r="L25" s="11" t="str">
        <f>HYPERLINK("http://slimages.macys.com/is/image/MCY/17997257 ")</f>
        <v xml:space="preserve">http://slimages.macys.com/is/image/MCY/17997257 </v>
      </c>
    </row>
    <row r="26" spans="1:12" ht="39.950000000000003" customHeight="1" x14ac:dyDescent="0.25">
      <c r="A26" s="6" t="s">
        <v>2873</v>
      </c>
      <c r="B26" s="7" t="s">
        <v>2874</v>
      </c>
      <c r="C26" s="8">
        <v>1</v>
      </c>
      <c r="D26" s="9">
        <v>69.989999999999995</v>
      </c>
      <c r="E26" s="8" t="s">
        <v>2875</v>
      </c>
      <c r="F26" s="7" t="s">
        <v>3452</v>
      </c>
      <c r="G26" s="10"/>
      <c r="H26" s="7" t="s">
        <v>3356</v>
      </c>
      <c r="I26" s="7" t="s">
        <v>2876</v>
      </c>
      <c r="J26" s="7" t="s">
        <v>3358</v>
      </c>
      <c r="K26" s="7" t="s">
        <v>3390</v>
      </c>
      <c r="L26" s="11" t="str">
        <f>HYPERLINK("http://slimages.macys.com/is/image/MCY/3819330 ")</f>
        <v xml:space="preserve">http://slimages.macys.com/is/image/MCY/3819330 </v>
      </c>
    </row>
    <row r="27" spans="1:12" ht="39.950000000000003" customHeight="1" x14ac:dyDescent="0.25">
      <c r="A27" s="6" t="s">
        <v>2877</v>
      </c>
      <c r="B27" s="7" t="s">
        <v>2878</v>
      </c>
      <c r="C27" s="8">
        <v>1</v>
      </c>
      <c r="D27" s="9">
        <v>69.989999999999995</v>
      </c>
      <c r="E27" s="8" t="s">
        <v>2879</v>
      </c>
      <c r="F27" s="7" t="s">
        <v>3525</v>
      </c>
      <c r="G27" s="10"/>
      <c r="H27" s="7" t="s">
        <v>3356</v>
      </c>
      <c r="I27" s="7" t="s">
        <v>2876</v>
      </c>
      <c r="J27" s="7" t="s">
        <v>3358</v>
      </c>
      <c r="K27" s="7" t="s">
        <v>3390</v>
      </c>
      <c r="L27" s="11" t="str">
        <f>HYPERLINK("http://slimages.macys.com/is/image/MCY/3819330 ")</f>
        <v xml:space="preserve">http://slimages.macys.com/is/image/MCY/3819330 </v>
      </c>
    </row>
    <row r="28" spans="1:12" ht="39.950000000000003" customHeight="1" x14ac:dyDescent="0.25">
      <c r="A28" s="6" t="s">
        <v>2880</v>
      </c>
      <c r="B28" s="7" t="s">
        <v>2881</v>
      </c>
      <c r="C28" s="8">
        <v>1</v>
      </c>
      <c r="D28" s="9">
        <v>79.989999999999995</v>
      </c>
      <c r="E28" s="8" t="s">
        <v>2882</v>
      </c>
      <c r="F28" s="7" t="s">
        <v>3553</v>
      </c>
      <c r="G28" s="10"/>
      <c r="H28" s="7" t="s">
        <v>3365</v>
      </c>
      <c r="I28" s="7" t="s">
        <v>3554</v>
      </c>
      <c r="J28" s="7" t="s">
        <v>3358</v>
      </c>
      <c r="K28" s="7" t="s">
        <v>4002</v>
      </c>
      <c r="L28" s="11" t="str">
        <f>HYPERLINK("http://slimages.macys.com/is/image/MCY/13799471 ")</f>
        <v xml:space="preserve">http://slimages.macys.com/is/image/MCY/13799471 </v>
      </c>
    </row>
    <row r="29" spans="1:12" ht="39.950000000000003" customHeight="1" x14ac:dyDescent="0.25">
      <c r="A29" s="6" t="s">
        <v>2883</v>
      </c>
      <c r="B29" s="7" t="s">
        <v>2884</v>
      </c>
      <c r="C29" s="8">
        <v>2</v>
      </c>
      <c r="D29" s="9">
        <v>79.98</v>
      </c>
      <c r="E29" s="8" t="s">
        <v>2885</v>
      </c>
      <c r="F29" s="7"/>
      <c r="G29" s="10" t="s">
        <v>3914</v>
      </c>
      <c r="H29" s="7" t="s">
        <v>3397</v>
      </c>
      <c r="I29" s="7" t="s">
        <v>2886</v>
      </c>
      <c r="J29" s="7" t="s">
        <v>3358</v>
      </c>
      <c r="K29" s="7" t="s">
        <v>2887</v>
      </c>
      <c r="L29" s="11" t="str">
        <f>HYPERLINK("http://slimages.macys.com/is/image/MCY/1437549 ")</f>
        <v xml:space="preserve">http://slimages.macys.com/is/image/MCY/1437549 </v>
      </c>
    </row>
    <row r="30" spans="1:12" ht="39.950000000000003" customHeight="1" x14ac:dyDescent="0.25">
      <c r="A30" s="6" t="s">
        <v>2888</v>
      </c>
      <c r="B30" s="7" t="s">
        <v>2889</v>
      </c>
      <c r="C30" s="8">
        <v>1</v>
      </c>
      <c r="D30" s="9">
        <v>59.99</v>
      </c>
      <c r="E30" s="8">
        <v>81337</v>
      </c>
      <c r="F30" s="7" t="s">
        <v>3443</v>
      </c>
      <c r="G30" s="10"/>
      <c r="H30" s="7" t="s">
        <v>3412</v>
      </c>
      <c r="I30" s="7" t="s">
        <v>3595</v>
      </c>
      <c r="J30" s="7" t="s">
        <v>3358</v>
      </c>
      <c r="K30" s="7" t="s">
        <v>3390</v>
      </c>
      <c r="L30" s="11" t="str">
        <f>HYPERLINK("http://slimages.macys.com/is/image/MCY/15670928 ")</f>
        <v xml:space="preserve">http://slimages.macys.com/is/image/MCY/15670928 </v>
      </c>
    </row>
    <row r="31" spans="1:12" ht="39.950000000000003" customHeight="1" x14ac:dyDescent="0.25">
      <c r="A31" s="6" t="s">
        <v>2890</v>
      </c>
      <c r="B31" s="7" t="s">
        <v>2891</v>
      </c>
      <c r="C31" s="8">
        <v>1</v>
      </c>
      <c r="D31" s="9">
        <v>49.99</v>
      </c>
      <c r="E31" s="8" t="s">
        <v>2892</v>
      </c>
      <c r="F31" s="7" t="s">
        <v>3477</v>
      </c>
      <c r="G31" s="10"/>
      <c r="H31" s="7" t="s">
        <v>3412</v>
      </c>
      <c r="I31" s="7" t="s">
        <v>3413</v>
      </c>
      <c r="J31" s="7" t="s">
        <v>3358</v>
      </c>
      <c r="K31" s="7" t="s">
        <v>3390</v>
      </c>
      <c r="L31" s="11" t="str">
        <f>HYPERLINK("http://slimages.macys.com/is/image/MCY/8347198 ")</f>
        <v xml:space="preserve">http://slimages.macys.com/is/image/MCY/8347198 </v>
      </c>
    </row>
    <row r="32" spans="1:12" ht="39.950000000000003" customHeight="1" x14ac:dyDescent="0.25">
      <c r="A32" s="6" t="s">
        <v>2893</v>
      </c>
      <c r="B32" s="7" t="s">
        <v>2894</v>
      </c>
      <c r="C32" s="8">
        <v>1</v>
      </c>
      <c r="D32" s="9">
        <v>99.99</v>
      </c>
      <c r="E32" s="8" t="s">
        <v>2895</v>
      </c>
      <c r="F32" s="7" t="s">
        <v>3443</v>
      </c>
      <c r="G32" s="10"/>
      <c r="H32" s="7" t="s">
        <v>3365</v>
      </c>
      <c r="I32" s="7" t="s">
        <v>3385</v>
      </c>
      <c r="J32" s="7" t="s">
        <v>3358</v>
      </c>
      <c r="K32" s="7"/>
      <c r="L32" s="11" t="str">
        <f>HYPERLINK("http://slimages.macys.com/is/image/MCY/12072123 ")</f>
        <v xml:space="preserve">http://slimages.macys.com/is/image/MCY/12072123 </v>
      </c>
    </row>
    <row r="33" spans="1:12" ht="39.950000000000003" customHeight="1" x14ac:dyDescent="0.25">
      <c r="A33" s="6" t="s">
        <v>2896</v>
      </c>
      <c r="B33" s="7" t="s">
        <v>2897</v>
      </c>
      <c r="C33" s="8">
        <v>1</v>
      </c>
      <c r="D33" s="9">
        <v>79.989999999999995</v>
      </c>
      <c r="E33" s="8" t="s">
        <v>2898</v>
      </c>
      <c r="F33" s="7" t="s">
        <v>3904</v>
      </c>
      <c r="G33" s="10"/>
      <c r="H33" s="7" t="s">
        <v>3365</v>
      </c>
      <c r="I33" s="7" t="s">
        <v>3554</v>
      </c>
      <c r="J33" s="7"/>
      <c r="K33" s="7"/>
      <c r="L33" s="11" t="str">
        <f>HYPERLINK("http://slimages.macys.com/is/image/MCY/18047532 ")</f>
        <v xml:space="preserve">http://slimages.macys.com/is/image/MCY/18047532 </v>
      </c>
    </row>
    <row r="34" spans="1:12" ht="39.950000000000003" customHeight="1" x14ac:dyDescent="0.25">
      <c r="A34" s="6" t="s">
        <v>2899</v>
      </c>
      <c r="B34" s="7" t="s">
        <v>2900</v>
      </c>
      <c r="C34" s="8">
        <v>1</v>
      </c>
      <c r="D34" s="9">
        <v>29.99</v>
      </c>
      <c r="E34" s="8" t="s">
        <v>2901</v>
      </c>
      <c r="F34" s="7" t="s">
        <v>3355</v>
      </c>
      <c r="G34" s="10"/>
      <c r="H34" s="7" t="s">
        <v>3431</v>
      </c>
      <c r="I34" s="7" t="s">
        <v>3432</v>
      </c>
      <c r="J34" s="7" t="s">
        <v>3358</v>
      </c>
      <c r="K34" s="7"/>
      <c r="L34" s="11" t="str">
        <f>HYPERLINK("http://slimages.macys.com/is/image/MCY/8670787 ")</f>
        <v xml:space="preserve">http://slimages.macys.com/is/image/MCY/8670787 </v>
      </c>
    </row>
    <row r="35" spans="1:12" ht="39.950000000000003" customHeight="1" x14ac:dyDescent="0.25">
      <c r="A35" s="6" t="s">
        <v>2902</v>
      </c>
      <c r="B35" s="7" t="s">
        <v>2903</v>
      </c>
      <c r="C35" s="8">
        <v>1</v>
      </c>
      <c r="D35" s="9">
        <v>44.99</v>
      </c>
      <c r="E35" s="8" t="s">
        <v>2904</v>
      </c>
      <c r="F35" s="7" t="s">
        <v>3632</v>
      </c>
      <c r="G35" s="10"/>
      <c r="H35" s="7" t="s">
        <v>3515</v>
      </c>
      <c r="I35" s="7" t="s">
        <v>3669</v>
      </c>
      <c r="J35" s="7" t="s">
        <v>3358</v>
      </c>
      <c r="K35" s="7" t="s">
        <v>3390</v>
      </c>
      <c r="L35" s="11" t="str">
        <f>HYPERLINK("http://slimages.macys.com/is/image/MCY/13299350 ")</f>
        <v xml:space="preserve">http://slimages.macys.com/is/image/MCY/13299350 </v>
      </c>
    </row>
    <row r="36" spans="1:12" ht="39.950000000000003" customHeight="1" x14ac:dyDescent="0.25">
      <c r="A36" s="6" t="s">
        <v>2905</v>
      </c>
      <c r="B36" s="7" t="s">
        <v>2906</v>
      </c>
      <c r="C36" s="8">
        <v>1</v>
      </c>
      <c r="D36" s="9">
        <v>35.99</v>
      </c>
      <c r="E36" s="8" t="s">
        <v>2907</v>
      </c>
      <c r="F36" s="7" t="s">
        <v>3781</v>
      </c>
      <c r="G36" s="10"/>
      <c r="H36" s="7" t="s">
        <v>3526</v>
      </c>
      <c r="I36" s="7" t="s">
        <v>4010</v>
      </c>
      <c r="J36" s="7" t="s">
        <v>3358</v>
      </c>
      <c r="K36" s="7" t="s">
        <v>4011</v>
      </c>
      <c r="L36" s="11" t="str">
        <f>HYPERLINK("http://slimages.macys.com/is/image/MCY/10721543 ")</f>
        <v xml:space="preserve">http://slimages.macys.com/is/image/MCY/10721543 </v>
      </c>
    </row>
    <row r="37" spans="1:12" ht="39.950000000000003" customHeight="1" x14ac:dyDescent="0.25">
      <c r="A37" s="6" t="s">
        <v>2908</v>
      </c>
      <c r="B37" s="7" t="s">
        <v>2909</v>
      </c>
      <c r="C37" s="8">
        <v>1</v>
      </c>
      <c r="D37" s="9">
        <v>44.99</v>
      </c>
      <c r="E37" s="8" t="s">
        <v>2910</v>
      </c>
      <c r="F37" s="7" t="s">
        <v>3363</v>
      </c>
      <c r="G37" s="10" t="s">
        <v>3606</v>
      </c>
      <c r="H37" s="7" t="s">
        <v>3388</v>
      </c>
      <c r="I37" s="7" t="s">
        <v>3664</v>
      </c>
      <c r="J37" s="7" t="s">
        <v>3692</v>
      </c>
      <c r="K37" s="7" t="s">
        <v>2683</v>
      </c>
      <c r="L37" s="11" t="str">
        <f>HYPERLINK("http://slimages.macys.com/is/image/MCY/11798130 ")</f>
        <v xml:space="preserve">http://slimages.macys.com/is/image/MCY/11798130 </v>
      </c>
    </row>
    <row r="38" spans="1:12" ht="39.950000000000003" customHeight="1" x14ac:dyDescent="0.25">
      <c r="A38" s="6" t="s">
        <v>2911</v>
      </c>
      <c r="B38" s="7" t="s">
        <v>2912</v>
      </c>
      <c r="C38" s="8">
        <v>1</v>
      </c>
      <c r="D38" s="9">
        <v>46.99</v>
      </c>
      <c r="E38" s="8" t="s">
        <v>2913</v>
      </c>
      <c r="F38" s="7" t="s">
        <v>3840</v>
      </c>
      <c r="G38" s="10" t="s">
        <v>2914</v>
      </c>
      <c r="H38" s="7" t="s">
        <v>3412</v>
      </c>
      <c r="I38" s="7" t="s">
        <v>2915</v>
      </c>
      <c r="J38" s="7" t="s">
        <v>3358</v>
      </c>
      <c r="K38" s="7" t="s">
        <v>3390</v>
      </c>
      <c r="L38" s="11" t="str">
        <f>HYPERLINK("http://slimages.macys.com/is/image/MCY/11573180 ")</f>
        <v xml:space="preserve">http://slimages.macys.com/is/image/MCY/11573180 </v>
      </c>
    </row>
    <row r="39" spans="1:12" ht="39.950000000000003" customHeight="1" x14ac:dyDescent="0.25">
      <c r="A39" s="6" t="s">
        <v>2916</v>
      </c>
      <c r="B39" s="7" t="s">
        <v>2917</v>
      </c>
      <c r="C39" s="8">
        <v>1</v>
      </c>
      <c r="D39" s="9">
        <v>34.99</v>
      </c>
      <c r="E39" s="8" t="s">
        <v>2918</v>
      </c>
      <c r="F39" s="7" t="s">
        <v>3363</v>
      </c>
      <c r="G39" s="10"/>
      <c r="H39" s="7" t="s">
        <v>3471</v>
      </c>
      <c r="I39" s="7" t="s">
        <v>2919</v>
      </c>
      <c r="J39" s="7"/>
      <c r="K39" s="7"/>
      <c r="L39" s="11" t="str">
        <f>HYPERLINK("http://slimages.macys.com/is/image/MCY/17594700 ")</f>
        <v xml:space="preserve">http://slimages.macys.com/is/image/MCY/17594700 </v>
      </c>
    </row>
    <row r="40" spans="1:12" ht="39.950000000000003" customHeight="1" x14ac:dyDescent="0.25">
      <c r="A40" s="6" t="s">
        <v>2920</v>
      </c>
      <c r="B40" s="7" t="s">
        <v>2921</v>
      </c>
      <c r="C40" s="8">
        <v>1</v>
      </c>
      <c r="D40" s="9">
        <v>29.99</v>
      </c>
      <c r="E40" s="8" t="s">
        <v>2922</v>
      </c>
      <c r="F40" s="7"/>
      <c r="G40" s="10"/>
      <c r="H40" s="7" t="s">
        <v>3412</v>
      </c>
      <c r="I40" s="7" t="s">
        <v>3510</v>
      </c>
      <c r="J40" s="7" t="s">
        <v>3358</v>
      </c>
      <c r="K40" s="7" t="s">
        <v>3390</v>
      </c>
      <c r="L40" s="11" t="str">
        <f>HYPERLINK("http://slimages.macys.com/is/image/MCY/16688463 ")</f>
        <v xml:space="preserve">http://slimages.macys.com/is/image/MCY/16688463 </v>
      </c>
    </row>
    <row r="41" spans="1:12" ht="39.950000000000003" customHeight="1" x14ac:dyDescent="0.25">
      <c r="A41" s="6" t="s">
        <v>2923</v>
      </c>
      <c r="B41" s="7" t="s">
        <v>2924</v>
      </c>
      <c r="C41" s="8">
        <v>2</v>
      </c>
      <c r="D41" s="9">
        <v>59.98</v>
      </c>
      <c r="E41" s="8">
        <v>2000000026</v>
      </c>
      <c r="F41" s="7" t="s">
        <v>2925</v>
      </c>
      <c r="G41" s="10"/>
      <c r="H41" s="7" t="s">
        <v>3412</v>
      </c>
      <c r="I41" s="7" t="s">
        <v>3413</v>
      </c>
      <c r="J41" s="7"/>
      <c r="K41" s="7"/>
      <c r="L41" s="11" t="str">
        <f>HYPERLINK("http://slimages.macys.com/is/image/MCY/17860262 ")</f>
        <v xml:space="preserve">http://slimages.macys.com/is/image/MCY/17860262 </v>
      </c>
    </row>
    <row r="42" spans="1:12" ht="39.950000000000003" customHeight="1" x14ac:dyDescent="0.25">
      <c r="A42" s="6" t="s">
        <v>2926</v>
      </c>
      <c r="B42" s="7" t="s">
        <v>2927</v>
      </c>
      <c r="C42" s="8">
        <v>1</v>
      </c>
      <c r="D42" s="9">
        <v>39.99</v>
      </c>
      <c r="E42" s="8" t="s">
        <v>2928</v>
      </c>
      <c r="F42" s="7" t="s">
        <v>3673</v>
      </c>
      <c r="G42" s="10"/>
      <c r="H42" s="7" t="s">
        <v>3601</v>
      </c>
      <c r="I42" s="7" t="s">
        <v>3602</v>
      </c>
      <c r="J42" s="7" t="s">
        <v>3358</v>
      </c>
      <c r="K42" s="7" t="s">
        <v>3702</v>
      </c>
      <c r="L42" s="11" t="str">
        <f>HYPERLINK("http://slimages.macys.com/is/image/MCY/2519116 ")</f>
        <v xml:space="preserve">http://slimages.macys.com/is/image/MCY/2519116 </v>
      </c>
    </row>
    <row r="43" spans="1:12" ht="39.950000000000003" customHeight="1" x14ac:dyDescent="0.25">
      <c r="A43" s="6" t="s">
        <v>2929</v>
      </c>
      <c r="B43" s="7" t="s">
        <v>2930</v>
      </c>
      <c r="C43" s="8">
        <v>1</v>
      </c>
      <c r="D43" s="9">
        <v>29.99</v>
      </c>
      <c r="E43" s="8">
        <v>82260</v>
      </c>
      <c r="F43" s="7" t="s">
        <v>3781</v>
      </c>
      <c r="G43" s="10"/>
      <c r="H43" s="7" t="s">
        <v>3412</v>
      </c>
      <c r="I43" s="7" t="s">
        <v>3595</v>
      </c>
      <c r="J43" s="7"/>
      <c r="K43" s="7"/>
      <c r="L43" s="11" t="str">
        <f>HYPERLINK("http://slimages.macys.com/is/image/MCY/17862964 ")</f>
        <v xml:space="preserve">http://slimages.macys.com/is/image/MCY/17862964 </v>
      </c>
    </row>
    <row r="44" spans="1:12" ht="39.950000000000003" customHeight="1" x14ac:dyDescent="0.25">
      <c r="A44" s="6" t="s">
        <v>2931</v>
      </c>
      <c r="B44" s="7" t="s">
        <v>2932</v>
      </c>
      <c r="C44" s="8">
        <v>1</v>
      </c>
      <c r="D44" s="9">
        <v>24.99</v>
      </c>
      <c r="E44" s="8" t="s">
        <v>2933</v>
      </c>
      <c r="F44" s="7"/>
      <c r="G44" s="10" t="s">
        <v>3453</v>
      </c>
      <c r="H44" s="7" t="s">
        <v>3492</v>
      </c>
      <c r="I44" s="7" t="s">
        <v>2934</v>
      </c>
      <c r="J44" s="7"/>
      <c r="K44" s="7"/>
      <c r="L44" s="11" t="str">
        <f>HYPERLINK("http://slimages.macys.com/is/image/MCY/18060296 ")</f>
        <v xml:space="preserve">http://slimages.macys.com/is/image/MCY/18060296 </v>
      </c>
    </row>
    <row r="45" spans="1:12" ht="39.950000000000003" customHeight="1" x14ac:dyDescent="0.25">
      <c r="A45" s="6" t="s">
        <v>2935</v>
      </c>
      <c r="B45" s="7" t="s">
        <v>2936</v>
      </c>
      <c r="C45" s="8">
        <v>1</v>
      </c>
      <c r="D45" s="9">
        <v>24.99</v>
      </c>
      <c r="E45" s="8" t="s">
        <v>2937</v>
      </c>
      <c r="F45" s="7" t="s">
        <v>3477</v>
      </c>
      <c r="G45" s="10"/>
      <c r="H45" s="7" t="s">
        <v>3492</v>
      </c>
      <c r="I45" s="7" t="s">
        <v>3499</v>
      </c>
      <c r="J45" s="7"/>
      <c r="K45" s="7"/>
      <c r="L45" s="11" t="str">
        <f>HYPERLINK("http://slimages.macys.com/is/image/MCY/17806420 ")</f>
        <v xml:space="preserve">http://slimages.macys.com/is/image/MCY/17806420 </v>
      </c>
    </row>
    <row r="46" spans="1:12" ht="39.950000000000003" customHeight="1" x14ac:dyDescent="0.25">
      <c r="A46" s="6" t="s">
        <v>2938</v>
      </c>
      <c r="B46" s="7" t="s">
        <v>2939</v>
      </c>
      <c r="C46" s="8">
        <v>1</v>
      </c>
      <c r="D46" s="9">
        <v>24.99</v>
      </c>
      <c r="E46" s="8" t="s">
        <v>2940</v>
      </c>
      <c r="F46" s="7" t="s">
        <v>3481</v>
      </c>
      <c r="G46" s="10"/>
      <c r="H46" s="7" t="s">
        <v>3356</v>
      </c>
      <c r="I46" s="7" t="s">
        <v>3651</v>
      </c>
      <c r="J46" s="7" t="s">
        <v>3358</v>
      </c>
      <c r="K46" s="7" t="s">
        <v>3390</v>
      </c>
      <c r="L46" s="11" t="str">
        <f>HYPERLINK("http://slimages.macys.com/is/image/MCY/2861128 ")</f>
        <v xml:space="preserve">http://slimages.macys.com/is/image/MCY/2861128 </v>
      </c>
    </row>
    <row r="47" spans="1:12" ht="39.950000000000003" customHeight="1" x14ac:dyDescent="0.25">
      <c r="A47" s="6" t="s">
        <v>2941</v>
      </c>
      <c r="B47" s="7" t="s">
        <v>2942</v>
      </c>
      <c r="C47" s="8">
        <v>1</v>
      </c>
      <c r="D47" s="9">
        <v>19.989999999999998</v>
      </c>
      <c r="E47" s="8">
        <v>57798</v>
      </c>
      <c r="F47" s="7" t="s">
        <v>3706</v>
      </c>
      <c r="G47" s="10"/>
      <c r="H47" s="7" t="s">
        <v>3492</v>
      </c>
      <c r="I47" s="7" t="s">
        <v>3636</v>
      </c>
      <c r="J47" s="7" t="s">
        <v>3358</v>
      </c>
      <c r="K47" s="7"/>
      <c r="L47" s="11" t="str">
        <f>HYPERLINK("http://slimages.macys.com/is/image/MCY/17938088 ")</f>
        <v xml:space="preserve">http://slimages.macys.com/is/image/MCY/17938088 </v>
      </c>
    </row>
    <row r="48" spans="1:12" ht="39.950000000000003" customHeight="1" x14ac:dyDescent="0.25">
      <c r="A48" s="6" t="s">
        <v>2943</v>
      </c>
      <c r="B48" s="7" t="s">
        <v>2944</v>
      </c>
      <c r="C48" s="8">
        <v>1</v>
      </c>
      <c r="D48" s="9">
        <v>19.989999999999998</v>
      </c>
      <c r="E48" s="8">
        <v>9905</v>
      </c>
      <c r="F48" s="7" t="s">
        <v>3531</v>
      </c>
      <c r="G48" s="10" t="s">
        <v>3504</v>
      </c>
      <c r="H48" s="7" t="s">
        <v>3515</v>
      </c>
      <c r="I48" s="7" t="s">
        <v>2945</v>
      </c>
      <c r="J48" s="7" t="s">
        <v>3358</v>
      </c>
      <c r="K48" s="7" t="s">
        <v>2946</v>
      </c>
      <c r="L48" s="11" t="str">
        <f>HYPERLINK("http://slimages.macys.com/is/image/MCY/15369098 ")</f>
        <v xml:space="preserve">http://slimages.macys.com/is/image/MCY/15369098 </v>
      </c>
    </row>
    <row r="49" spans="1:12" ht="39.950000000000003" customHeight="1" x14ac:dyDescent="0.25">
      <c r="A49" s="6" t="s">
        <v>3741</v>
      </c>
      <c r="B49" s="7" t="s">
        <v>3742</v>
      </c>
      <c r="C49" s="8">
        <v>2</v>
      </c>
      <c r="D49" s="9">
        <v>49.98</v>
      </c>
      <c r="E49" s="8">
        <v>64212</v>
      </c>
      <c r="F49" s="7" t="s">
        <v>3363</v>
      </c>
      <c r="G49" s="10"/>
      <c r="H49" s="7" t="s">
        <v>3388</v>
      </c>
      <c r="I49" s="7" t="s">
        <v>3389</v>
      </c>
      <c r="J49" s="7" t="s">
        <v>3379</v>
      </c>
      <c r="K49" s="7" t="s">
        <v>3743</v>
      </c>
      <c r="L49" s="11" t="str">
        <f>HYPERLINK("http://slimages.macys.com/is/image/MCY/14724460 ")</f>
        <v xml:space="preserve">http://slimages.macys.com/is/image/MCY/14724460 </v>
      </c>
    </row>
    <row r="50" spans="1:12" ht="39.950000000000003" customHeight="1" x14ac:dyDescent="0.25">
      <c r="A50" s="6" t="s">
        <v>2947</v>
      </c>
      <c r="B50" s="7" t="s">
        <v>2948</v>
      </c>
      <c r="C50" s="8">
        <v>1</v>
      </c>
      <c r="D50" s="9">
        <v>19.989999999999998</v>
      </c>
      <c r="E50" s="8">
        <v>50969</v>
      </c>
      <c r="F50" s="7" t="s">
        <v>3525</v>
      </c>
      <c r="G50" s="10"/>
      <c r="H50" s="7" t="s">
        <v>3492</v>
      </c>
      <c r="I50" s="7" t="s">
        <v>3636</v>
      </c>
      <c r="J50" s="7" t="s">
        <v>3358</v>
      </c>
      <c r="K50" s="7" t="s">
        <v>3390</v>
      </c>
      <c r="L50" s="11" t="str">
        <f>HYPERLINK("http://slimages.macys.com/is/image/MCY/8759583 ")</f>
        <v xml:space="preserve">http://slimages.macys.com/is/image/MCY/8759583 </v>
      </c>
    </row>
    <row r="51" spans="1:12" ht="39.950000000000003" customHeight="1" x14ac:dyDescent="0.25">
      <c r="A51" s="6" t="s">
        <v>2949</v>
      </c>
      <c r="B51" s="7" t="s">
        <v>2950</v>
      </c>
      <c r="C51" s="8">
        <v>7</v>
      </c>
      <c r="D51" s="9">
        <v>209.93</v>
      </c>
      <c r="E51" s="8">
        <v>100088173</v>
      </c>
      <c r="F51" s="7" t="s">
        <v>4219</v>
      </c>
      <c r="G51" s="10" t="s">
        <v>3893</v>
      </c>
      <c r="H51" s="7" t="s">
        <v>3418</v>
      </c>
      <c r="I51" s="7" t="s">
        <v>3993</v>
      </c>
      <c r="J51" s="7" t="s">
        <v>3358</v>
      </c>
      <c r="K51" s="7"/>
      <c r="L51" s="11" t="str">
        <f>HYPERLINK("http://slimages.macys.com/is/image/MCY/16141997 ")</f>
        <v xml:space="preserve">http://slimages.macys.com/is/image/MCY/16141997 </v>
      </c>
    </row>
    <row r="52" spans="1:12" ht="39.950000000000003" customHeight="1" x14ac:dyDescent="0.25">
      <c r="A52" s="6" t="s">
        <v>2951</v>
      </c>
      <c r="B52" s="7" t="s">
        <v>2952</v>
      </c>
      <c r="C52" s="8">
        <v>3</v>
      </c>
      <c r="D52" s="9">
        <v>50.97</v>
      </c>
      <c r="E52" s="8" t="s">
        <v>2953</v>
      </c>
      <c r="F52" s="7" t="s">
        <v>3363</v>
      </c>
      <c r="G52" s="10"/>
      <c r="H52" s="7" t="s">
        <v>3492</v>
      </c>
      <c r="I52" s="7" t="s">
        <v>2954</v>
      </c>
      <c r="J52" s="7" t="s">
        <v>3358</v>
      </c>
      <c r="K52" s="7"/>
      <c r="L52" s="11" t="str">
        <f>HYPERLINK("http://slimages.macys.com/is/image/MCY/8757789 ")</f>
        <v xml:space="preserve">http://slimages.macys.com/is/image/MCY/8757789 </v>
      </c>
    </row>
    <row r="53" spans="1:12" ht="39.950000000000003" customHeight="1" x14ac:dyDescent="0.25">
      <c r="A53" s="6" t="s">
        <v>2955</v>
      </c>
      <c r="B53" s="7" t="s">
        <v>2956</v>
      </c>
      <c r="C53" s="8">
        <v>1</v>
      </c>
      <c r="D53" s="9">
        <v>16.989999999999998</v>
      </c>
      <c r="E53" s="8">
        <v>202007</v>
      </c>
      <c r="F53" s="7" t="s">
        <v>3363</v>
      </c>
      <c r="G53" s="10"/>
      <c r="H53" s="7" t="s">
        <v>3388</v>
      </c>
      <c r="I53" s="7" t="s">
        <v>3423</v>
      </c>
      <c r="J53" s="7" t="s">
        <v>3358</v>
      </c>
      <c r="K53" s="7" t="s">
        <v>2957</v>
      </c>
      <c r="L53" s="11" t="str">
        <f>HYPERLINK("http://slimages.macys.com/is/image/MCY/16053943 ")</f>
        <v xml:space="preserve">http://slimages.macys.com/is/image/MCY/16053943 </v>
      </c>
    </row>
    <row r="54" spans="1:12" ht="39.950000000000003" customHeight="1" x14ac:dyDescent="0.25">
      <c r="A54" s="6" t="s">
        <v>2958</v>
      </c>
      <c r="B54" s="7" t="s">
        <v>2959</v>
      </c>
      <c r="C54" s="8">
        <v>3</v>
      </c>
      <c r="D54" s="9">
        <v>47.97</v>
      </c>
      <c r="E54" s="8" t="s">
        <v>2960</v>
      </c>
      <c r="F54" s="7" t="s">
        <v>3384</v>
      </c>
      <c r="G54" s="10" t="s">
        <v>3453</v>
      </c>
      <c r="H54" s="7" t="s">
        <v>3492</v>
      </c>
      <c r="I54" s="7" t="s">
        <v>3423</v>
      </c>
      <c r="J54" s="7" t="s">
        <v>3358</v>
      </c>
      <c r="K54" s="7"/>
      <c r="L54" s="11" t="str">
        <f>HYPERLINK("http://slimages.macys.com/is/image/MCY/8223041 ")</f>
        <v xml:space="preserve">http://slimages.macys.com/is/image/MCY/8223041 </v>
      </c>
    </row>
    <row r="55" spans="1:12" ht="39.950000000000003" customHeight="1" x14ac:dyDescent="0.25">
      <c r="A55" s="6" t="s">
        <v>2961</v>
      </c>
      <c r="B55" s="7" t="s">
        <v>2962</v>
      </c>
      <c r="C55" s="8">
        <v>1</v>
      </c>
      <c r="D55" s="9">
        <v>78.11</v>
      </c>
      <c r="E55" s="8" t="s">
        <v>2963</v>
      </c>
      <c r="F55" s="7"/>
      <c r="G55" s="10"/>
      <c r="H55" s="7" t="s">
        <v>3388</v>
      </c>
      <c r="I55" s="7" t="s">
        <v>2964</v>
      </c>
      <c r="J55" s="7"/>
      <c r="K55" s="7"/>
      <c r="L55" s="11" t="str">
        <f>HYPERLINK("http://slimages.macys.com/is/image/MCY/17993382 ")</f>
        <v xml:space="preserve">http://slimages.macys.com/is/image/MCY/17993382 </v>
      </c>
    </row>
    <row r="56" spans="1:12" ht="39.950000000000003" customHeight="1" x14ac:dyDescent="0.25">
      <c r="A56" s="6" t="s">
        <v>2965</v>
      </c>
      <c r="B56" s="7" t="s">
        <v>2966</v>
      </c>
      <c r="C56" s="8">
        <v>1</v>
      </c>
      <c r="D56" s="9">
        <v>39.99</v>
      </c>
      <c r="E56" s="8" t="s">
        <v>2967</v>
      </c>
      <c r="F56" s="7" t="s">
        <v>3363</v>
      </c>
      <c r="G56" s="10"/>
      <c r="H56" s="7" t="s">
        <v>3601</v>
      </c>
      <c r="I56" s="7" t="s">
        <v>3602</v>
      </c>
      <c r="J56" s="7" t="s">
        <v>3358</v>
      </c>
      <c r="K56" s="7"/>
      <c r="L56" s="11" t="str">
        <f>HYPERLINK("http://slimages.macys.com/is/image/MCY/8433239 ")</f>
        <v xml:space="preserve">http://slimages.macys.com/is/image/MCY/8433239 </v>
      </c>
    </row>
    <row r="57" spans="1:12" ht="39.950000000000003" customHeight="1" x14ac:dyDescent="0.25">
      <c r="A57" s="6" t="s">
        <v>2968</v>
      </c>
      <c r="B57" s="7" t="s">
        <v>2969</v>
      </c>
      <c r="C57" s="8">
        <v>1</v>
      </c>
      <c r="D57" s="9">
        <v>6.99</v>
      </c>
      <c r="E57" s="8" t="s">
        <v>2970</v>
      </c>
      <c r="F57" s="7" t="s">
        <v>3363</v>
      </c>
      <c r="G57" s="10" t="s">
        <v>3774</v>
      </c>
      <c r="H57" s="7" t="s">
        <v>3372</v>
      </c>
      <c r="I57" s="7" t="s">
        <v>3803</v>
      </c>
      <c r="J57" s="7"/>
      <c r="K57" s="7"/>
      <c r="L57" s="11" t="str">
        <f>HYPERLINK("http://slimages.macys.com/is/image/MCY/17309974 ")</f>
        <v xml:space="preserve">http://slimages.macys.com/is/image/MCY/17309974 </v>
      </c>
    </row>
    <row r="58" spans="1:12" ht="39.950000000000003" customHeight="1" x14ac:dyDescent="0.25">
      <c r="A58" s="6" t="s">
        <v>2971</v>
      </c>
      <c r="B58" s="7" t="s">
        <v>2972</v>
      </c>
      <c r="C58" s="8">
        <v>1</v>
      </c>
      <c r="D58" s="9">
        <v>5.99</v>
      </c>
      <c r="E58" s="8">
        <v>1009787500</v>
      </c>
      <c r="F58" s="7" t="s">
        <v>3363</v>
      </c>
      <c r="G58" s="10" t="s">
        <v>3532</v>
      </c>
      <c r="H58" s="7" t="s">
        <v>3482</v>
      </c>
      <c r="I58" s="7" t="s">
        <v>2973</v>
      </c>
      <c r="J58" s="7"/>
      <c r="K58" s="7"/>
      <c r="L58" s="11" t="str">
        <f>HYPERLINK("http://slimages.macys.com/is/image/MCY/16520310 ")</f>
        <v xml:space="preserve">http://slimages.macys.com/is/image/MCY/16520310 </v>
      </c>
    </row>
    <row r="59" spans="1:12" ht="39.950000000000003" customHeight="1" x14ac:dyDescent="0.25">
      <c r="A59" s="6" t="s">
        <v>2974</v>
      </c>
      <c r="B59" s="7" t="s">
        <v>2975</v>
      </c>
      <c r="C59" s="8">
        <v>1</v>
      </c>
      <c r="D59" s="9">
        <v>78.11</v>
      </c>
      <c r="E59" s="8" t="s">
        <v>2976</v>
      </c>
      <c r="F59" s="7" t="s">
        <v>3363</v>
      </c>
      <c r="G59" s="10"/>
      <c r="H59" s="7" t="s">
        <v>3388</v>
      </c>
      <c r="I59" s="7" t="s">
        <v>2783</v>
      </c>
      <c r="J59" s="7"/>
      <c r="K59" s="7"/>
      <c r="L59" s="11"/>
    </row>
    <row r="60" spans="1:12" ht="39.950000000000003" customHeight="1" x14ac:dyDescent="0.25">
      <c r="A60" s="6" t="s">
        <v>3540</v>
      </c>
      <c r="B60" s="7" t="s">
        <v>3541</v>
      </c>
      <c r="C60" s="8">
        <v>3</v>
      </c>
      <c r="D60" s="9">
        <v>120</v>
      </c>
      <c r="E60" s="8"/>
      <c r="F60" s="7" t="s">
        <v>3542</v>
      </c>
      <c r="G60" s="10" t="s">
        <v>3504</v>
      </c>
      <c r="H60" s="7" t="s">
        <v>3543</v>
      </c>
      <c r="I60" s="7" t="s">
        <v>3544</v>
      </c>
      <c r="J60" s="7"/>
      <c r="K60" s="7"/>
      <c r="L60" s="11"/>
    </row>
  </sheetData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27</vt:i4>
      </vt:variant>
    </vt:vector>
  </HeadingPairs>
  <TitlesOfParts>
    <vt:vector size="27" baseType="lpstr">
      <vt:lpstr>Summary </vt:lpstr>
      <vt:lpstr>Pallet 1</vt:lpstr>
      <vt:lpstr>Pallet 2</vt:lpstr>
      <vt:lpstr>Pallet 3</vt:lpstr>
      <vt:lpstr>Pallet 4</vt:lpstr>
      <vt:lpstr>Pallet 5</vt:lpstr>
      <vt:lpstr>Pallet 6</vt:lpstr>
      <vt:lpstr>Pallet 7</vt:lpstr>
      <vt:lpstr>Pallet 8</vt:lpstr>
      <vt:lpstr>Pallet 9</vt:lpstr>
      <vt:lpstr>Pallet 10</vt:lpstr>
      <vt:lpstr>Pallet 11</vt:lpstr>
      <vt:lpstr>Pallet 12</vt:lpstr>
      <vt:lpstr>Pallet 13</vt:lpstr>
      <vt:lpstr>Pallet 14</vt:lpstr>
      <vt:lpstr>Pallet 15</vt:lpstr>
      <vt:lpstr>Pallet 16</vt:lpstr>
      <vt:lpstr>Pallet 17</vt:lpstr>
      <vt:lpstr>Pallet 18</vt:lpstr>
      <vt:lpstr>Pallet 19</vt:lpstr>
      <vt:lpstr>Pallet 20</vt:lpstr>
      <vt:lpstr>Pallet 21</vt:lpstr>
      <vt:lpstr>Pallet 22</vt:lpstr>
      <vt:lpstr>Pallet 23</vt:lpstr>
      <vt:lpstr>Pallet 24</vt:lpstr>
      <vt:lpstr>Pallet 25</vt:lpstr>
      <vt:lpstr>Pallet 26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office</cp:lastModifiedBy>
  <dcterms:created xsi:type="dcterms:W3CDTF">2021-04-27T14:20:11Z</dcterms:created>
  <dcterms:modified xsi:type="dcterms:W3CDTF">2021-05-01T11:09:32Z</dcterms:modified>
</cp:coreProperties>
</file>